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456" yWindow="2040" windowWidth="23256" windowHeight="12624" firstSheet="2" activeTab="2"/>
  </bookViews>
  <sheets>
    <sheet name="Inputs" sheetId="6" r:id="rId1"/>
    <sheet name="Outputs 1 - Calories Calc" sheetId="10" r:id="rId2"/>
    <sheet name="Outputs 2 - Food Source 1" sheetId="8" r:id="rId3"/>
    <sheet name="Outputs 3 - Food Source 2" sheetId="11" r:id="rId4"/>
    <sheet name="Outputs 4 - Food Source 3" sheetId="4" r:id="rId5"/>
    <sheet name="Outputs 5 - Food Preservation" sheetId="12" r:id="rId6"/>
    <sheet name="Food-related Resourses" sheetId="5" state="hidden" r:id="rId7"/>
    <sheet name="Calorie Sources Data" sheetId="1" state="hidden" r:id="rId8"/>
    <sheet name="Stored Ingredients Reqs 1mo" sheetId="9" state="hidden" r:id="rId9"/>
    <sheet name="Stored Ingredients Reqs 6mo" sheetId="3" state="hidden" r:id="rId10"/>
    <sheet name="Calorie Planning Factors" sheetId="2" state="hidden" r:id="rId11"/>
    <sheet name="Picklist Data" sheetId="7" state="hidden" r:id="rId12"/>
  </sheet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20" i="9" l="1"/>
  <c r="C17" i="9"/>
  <c r="C19" i="9" s="1"/>
  <c r="C85" i="1"/>
  <c r="D85" i="1" s="1"/>
  <c r="K19" i="9" s="1"/>
  <c r="C86" i="1"/>
  <c r="D86" i="1" s="1"/>
  <c r="K20" i="9" s="1"/>
  <c r="C84" i="1"/>
  <c r="D84" i="1" s="1"/>
  <c r="K18" i="9" s="1"/>
  <c r="C26" i="11"/>
  <c r="C25" i="11"/>
  <c r="C24" i="11"/>
  <c r="H56" i="1"/>
  <c r="G64" i="1"/>
  <c r="G53" i="1"/>
  <c r="G38" i="1"/>
  <c r="G32" i="1"/>
  <c r="B100" i="5"/>
  <c r="B101" i="5"/>
  <c r="B99" i="5"/>
  <c r="B92" i="5"/>
  <c r="B93" i="5"/>
  <c r="B91" i="5"/>
  <c r="B69" i="5"/>
  <c r="C28" i="11" l="1"/>
  <c r="C18" i="9"/>
  <c r="C103" i="5"/>
  <c r="B103" i="5" s="1"/>
  <c r="C102" i="5"/>
  <c r="B102" i="5" s="1"/>
  <c r="C64" i="3"/>
  <c r="C63" i="3"/>
  <c r="C52" i="3"/>
  <c r="C51" i="3"/>
  <c r="C50" i="3"/>
  <c r="C49" i="3"/>
  <c r="C48" i="3"/>
  <c r="C47" i="3"/>
  <c r="C46" i="3"/>
  <c r="C45" i="3"/>
  <c r="C41" i="3"/>
  <c r="C40" i="3"/>
  <c r="C39" i="3"/>
  <c r="C35" i="3"/>
  <c r="C34" i="3"/>
  <c r="C33" i="3"/>
  <c r="C32" i="3"/>
  <c r="C31" i="3"/>
  <c r="C30" i="3"/>
  <c r="C26" i="3"/>
  <c r="C25" i="3"/>
  <c r="C24" i="3"/>
  <c r="C23" i="3"/>
  <c r="C22" i="3"/>
  <c r="C21" i="3"/>
  <c r="C14" i="3"/>
  <c r="C13" i="3"/>
  <c r="C12" i="3"/>
  <c r="C11" i="3"/>
  <c r="C9" i="3"/>
  <c r="C10" i="3"/>
  <c r="L33" i="4"/>
  <c r="O70" i="9"/>
  <c r="K55" i="9"/>
  <c r="K49" i="9"/>
  <c r="K24" i="9"/>
  <c r="E100" i="11"/>
  <c r="E93" i="11"/>
  <c r="G97" i="11"/>
  <c r="F18" i="2"/>
  <c r="R18" i="2"/>
  <c r="Q18" i="2"/>
  <c r="C30" i="12"/>
  <c r="C29" i="12"/>
  <c r="D29" i="12" s="1"/>
  <c r="C28" i="12"/>
  <c r="D28" i="12" s="1"/>
  <c r="D27" i="12"/>
  <c r="C27" i="12"/>
  <c r="C26" i="12"/>
  <c r="D26" i="12" s="1"/>
  <c r="C21" i="12"/>
  <c r="C20" i="12"/>
  <c r="C19" i="12"/>
  <c r="C18" i="12"/>
  <c r="C17" i="12"/>
  <c r="C16" i="12"/>
  <c r="C15" i="12"/>
  <c r="F108" i="5"/>
  <c r="G108" i="5" s="1"/>
  <c r="F109" i="5"/>
  <c r="G109" i="5" s="1"/>
  <c r="B108" i="5"/>
  <c r="F110" i="5"/>
  <c r="G110" i="5" s="1"/>
  <c r="E34" i="8"/>
  <c r="E27" i="8"/>
  <c r="G49" i="5"/>
  <c r="E13" i="8"/>
  <c r="E42" i="10"/>
  <c r="E41" i="10"/>
  <c r="E32" i="10"/>
  <c r="E31" i="10"/>
  <c r="C13" i="9"/>
  <c r="D13" i="9" s="1"/>
  <c r="C12" i="9"/>
  <c r="C11" i="9"/>
  <c r="C10" i="9"/>
  <c r="C9" i="9"/>
  <c r="D9" i="9" s="1"/>
  <c r="C8" i="9"/>
  <c r="C67" i="9"/>
  <c r="C66" i="9"/>
  <c r="C63" i="9"/>
  <c r="C62" i="9"/>
  <c r="D62" i="9" s="1"/>
  <c r="C61" i="9"/>
  <c r="C59" i="9"/>
  <c r="C60" i="9"/>
  <c r="D60" i="9" s="1"/>
  <c r="C55" i="9"/>
  <c r="C54" i="9"/>
  <c r="C53" i="9"/>
  <c r="C52" i="9"/>
  <c r="C51" i="9"/>
  <c r="D51" i="9" s="1"/>
  <c r="C50" i="9"/>
  <c r="C49" i="9"/>
  <c r="C48" i="9"/>
  <c r="D48" i="9" s="1"/>
  <c r="C44" i="9"/>
  <c r="C43" i="9"/>
  <c r="C42" i="9"/>
  <c r="D42" i="9" s="1"/>
  <c r="C38" i="9"/>
  <c r="D38" i="9" s="1"/>
  <c r="C37" i="9"/>
  <c r="C36" i="9"/>
  <c r="D36" i="9" s="1"/>
  <c r="C35" i="9"/>
  <c r="D35" i="9" s="1"/>
  <c r="C34" i="9"/>
  <c r="C33" i="9"/>
  <c r="D33" i="9" s="1"/>
  <c r="C29" i="9"/>
  <c r="C28" i="9"/>
  <c r="C27" i="9"/>
  <c r="C26" i="9"/>
  <c r="C25" i="9"/>
  <c r="C24" i="9"/>
  <c r="D61" i="9"/>
  <c r="D59" i="9"/>
  <c r="D37" i="9"/>
  <c r="D12" i="9"/>
  <c r="D11" i="9"/>
  <c r="D10" i="9"/>
  <c r="D8" i="9"/>
  <c r="E20" i="8"/>
  <c r="C39" i="9" l="1"/>
  <c r="C21" i="9"/>
  <c r="C14" i="9"/>
  <c r="D34" i="9"/>
  <c r="C23" i="12"/>
  <c r="D15" i="12"/>
  <c r="D18" i="12"/>
  <c r="C56" i="9"/>
  <c r="C15" i="3"/>
  <c r="G14" i="4"/>
  <c r="G16" i="4"/>
  <c r="G17" i="4"/>
  <c r="G18" i="4"/>
  <c r="G19" i="4"/>
  <c r="G20" i="4"/>
  <c r="G21" i="4"/>
  <c r="G22" i="4"/>
  <c r="G23" i="4"/>
  <c r="G24" i="4"/>
  <c r="G25" i="4"/>
  <c r="G26" i="4"/>
  <c r="G27" i="4"/>
  <c r="G28" i="4"/>
  <c r="G13" i="4"/>
  <c r="G12" i="4"/>
  <c r="B13" i="4"/>
  <c r="B12" i="4"/>
  <c r="E39" i="2"/>
  <c r="F39" i="2" s="1"/>
  <c r="E38" i="2"/>
  <c r="F38" i="2" s="1"/>
  <c r="C67" i="11" l="1"/>
  <c r="D67" i="11" s="1"/>
  <c r="C66" i="11"/>
  <c r="D66" i="11" s="1"/>
  <c r="C59" i="11"/>
  <c r="D59" i="11" s="1"/>
  <c r="C55" i="11"/>
  <c r="D55" i="11" s="1"/>
  <c r="C41" i="11"/>
  <c r="D41" i="11" s="1"/>
  <c r="C45" i="11"/>
  <c r="C35" i="11"/>
  <c r="D35" i="11" s="1"/>
  <c r="C20" i="11"/>
  <c r="D20" i="11" s="1"/>
  <c r="C68" i="11"/>
  <c r="D68" i="11" s="1"/>
  <c r="C56" i="11"/>
  <c r="D56" i="11" s="1"/>
  <c r="C60" i="11"/>
  <c r="D60" i="11" s="1"/>
  <c r="C50" i="11"/>
  <c r="D50" i="11" s="1"/>
  <c r="C42" i="11"/>
  <c r="D42" i="11" s="1"/>
  <c r="C40" i="11"/>
  <c r="D40" i="11" s="1"/>
  <c r="C36" i="11"/>
  <c r="C17" i="11"/>
  <c r="D17" i="11" s="1"/>
  <c r="C16" i="11"/>
  <c r="D16" i="11" s="1"/>
  <c r="C69" i="11"/>
  <c r="D69" i="11" s="1"/>
  <c r="C57" i="11"/>
  <c r="D57" i="11" s="1"/>
  <c r="C61" i="11"/>
  <c r="D61" i="11" s="1"/>
  <c r="C51" i="11"/>
  <c r="D51" i="11" s="1"/>
  <c r="C43" i="11"/>
  <c r="D43" i="11" s="1"/>
  <c r="C33" i="11"/>
  <c r="D33" i="11" s="1"/>
  <c r="C32" i="11"/>
  <c r="D32" i="11" s="1"/>
  <c r="C18" i="11"/>
  <c r="D18" i="11" s="1"/>
  <c r="C15" i="11"/>
  <c r="C76" i="11"/>
  <c r="C70" i="11"/>
  <c r="C58" i="11"/>
  <c r="D58" i="11" s="1"/>
  <c r="C62" i="11"/>
  <c r="D62" i="11" s="1"/>
  <c r="C49" i="11"/>
  <c r="D49" i="11" s="1"/>
  <c r="C44" i="11"/>
  <c r="D44" i="11" s="1"/>
  <c r="C34" i="11"/>
  <c r="D34" i="11" s="1"/>
  <c r="C31" i="11"/>
  <c r="D31" i="11" s="1"/>
  <c r="C19" i="11"/>
  <c r="D19" i="11" s="1"/>
  <c r="F93" i="11"/>
  <c r="F100" i="11"/>
  <c r="D45" i="11"/>
  <c r="F42" i="10"/>
  <c r="F32" i="10"/>
  <c r="F27" i="8"/>
  <c r="F13" i="8"/>
  <c r="F31" i="10"/>
  <c r="F34" i="8"/>
  <c r="F41" i="10"/>
  <c r="F20" i="8"/>
  <c r="G31" i="4"/>
  <c r="C127" i="1"/>
  <c r="C126" i="1"/>
  <c r="B7" i="2"/>
  <c r="B4" i="2"/>
  <c r="J12" i="4"/>
  <c r="E67" i="4" s="1"/>
  <c r="E71" i="4" s="1"/>
  <c r="C15" i="4"/>
  <c r="E15" i="4" s="1"/>
  <c r="I45" i="4"/>
  <c r="E68" i="4" s="1"/>
  <c r="F18" i="4"/>
  <c r="E18" i="4"/>
  <c r="I18" i="4" s="1"/>
  <c r="B8" i="2"/>
  <c r="C26" i="6"/>
  <c r="C32" i="4"/>
  <c r="E32" i="4" s="1"/>
  <c r="C31" i="4"/>
  <c r="E31" i="4" s="1"/>
  <c r="F13" i="4"/>
  <c r="F14" i="4"/>
  <c r="F16" i="4"/>
  <c r="F17" i="4"/>
  <c r="F19" i="4"/>
  <c r="F20" i="4"/>
  <c r="F21" i="4"/>
  <c r="F22" i="4"/>
  <c r="F23" i="4"/>
  <c r="F24" i="4"/>
  <c r="F25" i="4"/>
  <c r="F26" i="4"/>
  <c r="F27" i="4"/>
  <c r="F28" i="4"/>
  <c r="B32" i="4"/>
  <c r="B31" i="4"/>
  <c r="D59" i="3"/>
  <c r="D58" i="3"/>
  <c r="D57" i="3"/>
  <c r="D56" i="3"/>
  <c r="D48" i="3"/>
  <c r="D45" i="3"/>
  <c r="D39" i="3"/>
  <c r="D35" i="3"/>
  <c r="D34" i="3"/>
  <c r="D33" i="3"/>
  <c r="D32" i="3"/>
  <c r="D31" i="3"/>
  <c r="D30" i="3"/>
  <c r="D9" i="3"/>
  <c r="B11" i="11"/>
  <c r="G83" i="11" l="1"/>
  <c r="J83" i="11" s="1"/>
  <c r="G74" i="11"/>
  <c r="G81" i="11"/>
  <c r="J81" i="11" s="1"/>
  <c r="G82" i="11"/>
  <c r="J82" i="11" s="1"/>
  <c r="G80" i="11"/>
  <c r="J80" i="11" s="1"/>
  <c r="G20" i="9"/>
  <c r="G24" i="11"/>
  <c r="H24" i="11" s="1"/>
  <c r="G19" i="9"/>
  <c r="G18" i="9"/>
  <c r="H58" i="11"/>
  <c r="H49" i="11"/>
  <c r="H55" i="11"/>
  <c r="H69" i="11"/>
  <c r="H40" i="11"/>
  <c r="H66" i="11"/>
  <c r="G25" i="11"/>
  <c r="G75" i="11"/>
  <c r="G26" i="11"/>
  <c r="H24" i="9"/>
  <c r="J24" i="9" s="1"/>
  <c r="N24" i="9" s="1"/>
  <c r="H68" i="11"/>
  <c r="H67" i="11"/>
  <c r="D36" i="11"/>
  <c r="G76" i="11"/>
  <c r="D76" i="11"/>
  <c r="G15" i="11"/>
  <c r="D15" i="11"/>
  <c r="D21" i="11" s="1"/>
  <c r="D52" i="11"/>
  <c r="B12" i="10"/>
  <c r="B20" i="10"/>
  <c r="B22" i="10" s="1"/>
  <c r="B11" i="10"/>
  <c r="B19" i="10"/>
  <c r="B21" i="10" s="1"/>
  <c r="G34" i="11"/>
  <c r="I34" i="11" s="1"/>
  <c r="G15" i="4"/>
  <c r="F15" i="4" s="1"/>
  <c r="D46" i="11"/>
  <c r="C46" i="11"/>
  <c r="G30" i="12"/>
  <c r="G20" i="12"/>
  <c r="H28" i="12"/>
  <c r="H27" i="12"/>
  <c r="H26" i="12"/>
  <c r="G22" i="12"/>
  <c r="G17" i="12"/>
  <c r="G29" i="12"/>
  <c r="G28" i="12"/>
  <c r="G27" i="12"/>
  <c r="G26" i="12"/>
  <c r="H29" i="12"/>
  <c r="G15" i="12"/>
  <c r="G19" i="12"/>
  <c r="G18" i="12"/>
  <c r="G21" i="12"/>
  <c r="G16" i="12"/>
  <c r="H15" i="12"/>
  <c r="H18" i="12"/>
  <c r="G33" i="11"/>
  <c r="I33" i="11" s="1"/>
  <c r="D63" i="11"/>
  <c r="C63" i="11"/>
  <c r="G66" i="11"/>
  <c r="I66" i="11" s="1"/>
  <c r="G31" i="11"/>
  <c r="G40" i="11"/>
  <c r="I40" i="11" s="1"/>
  <c r="C21" i="11"/>
  <c r="E40" i="2"/>
  <c r="F40" i="2" s="1"/>
  <c r="E43" i="10"/>
  <c r="E44" i="10" s="1"/>
  <c r="E33" i="10"/>
  <c r="E34" i="10" s="1"/>
  <c r="G50" i="11"/>
  <c r="G28" i="11"/>
  <c r="G45" i="11"/>
  <c r="I45" i="11" s="1"/>
  <c r="G36" i="11"/>
  <c r="I36" i="11" s="1"/>
  <c r="G70" i="11"/>
  <c r="I70" i="11" s="1"/>
  <c r="G67" i="11"/>
  <c r="I67" i="11" s="1"/>
  <c r="G44" i="11"/>
  <c r="I44" i="11" s="1"/>
  <c r="G42" i="11"/>
  <c r="I42" i="11" s="1"/>
  <c r="G32" i="11"/>
  <c r="I32" i="11" s="1"/>
  <c r="G69" i="11"/>
  <c r="I69" i="11" s="1"/>
  <c r="G62" i="11"/>
  <c r="G41" i="11"/>
  <c r="I41" i="11" s="1"/>
  <c r="G68" i="11"/>
  <c r="I68" i="11" s="1"/>
  <c r="G60" i="11"/>
  <c r="G57" i="11"/>
  <c r="G51" i="11"/>
  <c r="G43" i="11"/>
  <c r="I43" i="11" s="1"/>
  <c r="G19" i="11"/>
  <c r="H42" i="11"/>
  <c r="G58" i="11"/>
  <c r="J58" i="11" s="1"/>
  <c r="H43" i="11"/>
  <c r="G20" i="11"/>
  <c r="G56" i="11"/>
  <c r="G59" i="11"/>
  <c r="G55" i="11"/>
  <c r="J55" i="11" s="1"/>
  <c r="G16" i="11"/>
  <c r="H44" i="11"/>
  <c r="G17" i="11"/>
  <c r="G61" i="11"/>
  <c r="G18" i="11"/>
  <c r="H45" i="11"/>
  <c r="G35" i="11"/>
  <c r="I35" i="11" s="1"/>
  <c r="G49" i="11"/>
  <c r="J49" i="11" s="1"/>
  <c r="H41" i="11"/>
  <c r="B18" i="2"/>
  <c r="B26" i="2"/>
  <c r="F26" i="2" s="1"/>
  <c r="C19" i="10" s="1"/>
  <c r="C21" i="10" s="1"/>
  <c r="B19" i="2"/>
  <c r="G19" i="2" s="1"/>
  <c r="G66" i="9"/>
  <c r="J66" i="9" s="1"/>
  <c r="N66" i="9" s="1"/>
  <c r="G60" i="9"/>
  <c r="J60" i="9" s="1"/>
  <c r="G55" i="9"/>
  <c r="J55" i="9" s="1"/>
  <c r="N55" i="9" s="1"/>
  <c r="G51" i="9"/>
  <c r="J51" i="9" s="1"/>
  <c r="N51" i="9" s="1"/>
  <c r="G42" i="9"/>
  <c r="J42" i="9" s="1"/>
  <c r="N42" i="9" s="1"/>
  <c r="H26" i="9"/>
  <c r="J26" i="9" s="1"/>
  <c r="N26" i="9" s="1"/>
  <c r="H33" i="9"/>
  <c r="G67" i="9"/>
  <c r="J67" i="9" s="1"/>
  <c r="N67" i="9" s="1"/>
  <c r="G43" i="9"/>
  <c r="J43" i="9" s="1"/>
  <c r="N43" i="9" s="1"/>
  <c r="G33" i="9"/>
  <c r="J33" i="9" s="1"/>
  <c r="N33" i="9" s="1"/>
  <c r="G12" i="9"/>
  <c r="G9" i="3"/>
  <c r="H9" i="3" s="1"/>
  <c r="G63" i="9"/>
  <c r="J63" i="9" s="1"/>
  <c r="G54" i="9"/>
  <c r="J54" i="9" s="1"/>
  <c r="N54" i="9" s="1"/>
  <c r="G35" i="9"/>
  <c r="J35" i="9" s="1"/>
  <c r="N35" i="9" s="1"/>
  <c r="H29" i="9"/>
  <c r="J29" i="9" s="1"/>
  <c r="N29" i="9" s="1"/>
  <c r="H25" i="9"/>
  <c r="J25" i="9" s="1"/>
  <c r="N25" i="9" s="1"/>
  <c r="G13" i="9"/>
  <c r="G11" i="9"/>
  <c r="G62" i="9"/>
  <c r="J62" i="9" s="1"/>
  <c r="G59" i="9"/>
  <c r="J59" i="9" s="1"/>
  <c r="G53" i="9"/>
  <c r="J53" i="9" s="1"/>
  <c r="N53" i="9" s="1"/>
  <c r="G44" i="9"/>
  <c r="J44" i="9" s="1"/>
  <c r="N44" i="9" s="1"/>
  <c r="H36" i="9"/>
  <c r="H28" i="9"/>
  <c r="J28" i="9" s="1"/>
  <c r="N28" i="9" s="1"/>
  <c r="G8" i="9"/>
  <c r="J8" i="9" s="1"/>
  <c r="P8" i="9" s="1"/>
  <c r="G52" i="9"/>
  <c r="J52" i="9" s="1"/>
  <c r="N52" i="9" s="1"/>
  <c r="G38" i="9"/>
  <c r="J38" i="9" s="1"/>
  <c r="N38" i="9" s="1"/>
  <c r="H27" i="9"/>
  <c r="J27" i="9" s="1"/>
  <c r="N27" i="9" s="1"/>
  <c r="G49" i="9"/>
  <c r="J49" i="9" s="1"/>
  <c r="N49" i="9" s="1"/>
  <c r="G36" i="9"/>
  <c r="J36" i="9" s="1"/>
  <c r="N36" i="9" s="1"/>
  <c r="G17" i="9"/>
  <c r="G10" i="9"/>
  <c r="H59" i="9"/>
  <c r="G9" i="9"/>
  <c r="H61" i="9"/>
  <c r="H37" i="9"/>
  <c r="G37" i="9"/>
  <c r="J37" i="9" s="1"/>
  <c r="N37" i="9" s="1"/>
  <c r="G34" i="9"/>
  <c r="J34" i="9" s="1"/>
  <c r="N34" i="9" s="1"/>
  <c r="H42" i="9"/>
  <c r="G50" i="9"/>
  <c r="J50" i="9" s="1"/>
  <c r="N50" i="9" s="1"/>
  <c r="H51" i="9"/>
  <c r="H35" i="9"/>
  <c r="G48" i="9"/>
  <c r="J48" i="9" s="1"/>
  <c r="N48" i="9" s="1"/>
  <c r="H48" i="9"/>
  <c r="H34" i="9"/>
  <c r="G61" i="9"/>
  <c r="J61" i="9" s="1"/>
  <c r="H62" i="9"/>
  <c r="H60" i="9"/>
  <c r="H38" i="9"/>
  <c r="C53" i="4"/>
  <c r="J53" i="4" s="1"/>
  <c r="H26" i="3"/>
  <c r="C61" i="4"/>
  <c r="H30" i="3"/>
  <c r="C55" i="4"/>
  <c r="J55" i="4" s="1"/>
  <c r="C54" i="4"/>
  <c r="J54" i="4" s="1"/>
  <c r="C60" i="4"/>
  <c r="B27" i="2"/>
  <c r="F27" i="2" s="1"/>
  <c r="C20" i="10" s="1"/>
  <c r="C22" i="10" s="1"/>
  <c r="B5" i="2"/>
  <c r="I15" i="4"/>
  <c r="H15" i="4"/>
  <c r="J15" i="4"/>
  <c r="H18" i="4"/>
  <c r="K101" i="11"/>
  <c r="A22" i="10"/>
  <c r="H33" i="8"/>
  <c r="H99" i="11"/>
  <c r="K33" i="8"/>
  <c r="K19" i="8"/>
  <c r="J40" i="10"/>
  <c r="H19" i="8"/>
  <c r="K99" i="11"/>
  <c r="H40" i="10"/>
  <c r="J19" i="8"/>
  <c r="G40" i="10"/>
  <c r="A21" i="10"/>
  <c r="I40" i="10"/>
  <c r="G19" i="8"/>
  <c r="G33" i="8"/>
  <c r="G99" i="11"/>
  <c r="J33" i="8"/>
  <c r="J101" i="11"/>
  <c r="J99" i="11"/>
  <c r="A87" i="11"/>
  <c r="K40" i="10"/>
  <c r="G38" i="10"/>
  <c r="A23" i="10"/>
  <c r="A32" i="2"/>
  <c r="G4" i="9"/>
  <c r="I99" i="11"/>
  <c r="I19" i="8"/>
  <c r="G11" i="11"/>
  <c r="G31" i="8"/>
  <c r="L99" i="11"/>
  <c r="L33" i="8"/>
  <c r="A86" i="11"/>
  <c r="G17" i="8"/>
  <c r="L101" i="11"/>
  <c r="I33" i="8"/>
  <c r="G13" i="12"/>
  <c r="L19" i="8"/>
  <c r="A74" i="4"/>
  <c r="A73" i="4"/>
  <c r="G5" i="3"/>
  <c r="I24" i="11" l="1"/>
  <c r="J84" i="11"/>
  <c r="J20" i="9"/>
  <c r="L20" i="9" s="1"/>
  <c r="H20" i="9"/>
  <c r="H18" i="9"/>
  <c r="G21" i="9"/>
  <c r="J18" i="9"/>
  <c r="H19" i="9"/>
  <c r="J19" i="9"/>
  <c r="L19" i="9" s="1"/>
  <c r="N8" i="9"/>
  <c r="L8" i="9"/>
  <c r="O8" i="9" s="1"/>
  <c r="I26" i="11"/>
  <c r="H26" i="11"/>
  <c r="I25" i="11"/>
  <c r="H25" i="11"/>
  <c r="L48" i="9"/>
  <c r="M48" i="9" s="1"/>
  <c r="L50" i="9"/>
  <c r="M50" i="9" s="1"/>
  <c r="L34" i="9"/>
  <c r="M34" i="9" s="1"/>
  <c r="L37" i="9"/>
  <c r="M37" i="9" s="1"/>
  <c r="H9" i="9"/>
  <c r="J9" i="9"/>
  <c r="P9" i="9" s="1"/>
  <c r="H10" i="9"/>
  <c r="J10" i="9"/>
  <c r="P10" i="9" s="1"/>
  <c r="L36" i="9"/>
  <c r="M36" i="9" s="1"/>
  <c r="L49" i="9"/>
  <c r="M49" i="9" s="1"/>
  <c r="L27" i="9"/>
  <c r="M27" i="9" s="1"/>
  <c r="L38" i="9"/>
  <c r="M38" i="9" s="1"/>
  <c r="L52" i="9"/>
  <c r="M52" i="9" s="1"/>
  <c r="L28" i="9"/>
  <c r="M28" i="9" s="1"/>
  <c r="L44" i="9"/>
  <c r="M44" i="9" s="1"/>
  <c r="L53" i="9"/>
  <c r="M53" i="9" s="1"/>
  <c r="H11" i="9"/>
  <c r="J11" i="9"/>
  <c r="P11" i="9" s="1"/>
  <c r="H13" i="9"/>
  <c r="J13" i="9"/>
  <c r="P13" i="9" s="1"/>
  <c r="L25" i="9"/>
  <c r="M25" i="9" s="1"/>
  <c r="L29" i="9"/>
  <c r="M29" i="9" s="1"/>
  <c r="L35" i="9"/>
  <c r="M35" i="9" s="1"/>
  <c r="L54" i="9"/>
  <c r="M54" i="9" s="1"/>
  <c r="H12" i="9"/>
  <c r="J12" i="9"/>
  <c r="P12" i="9" s="1"/>
  <c r="L33" i="9"/>
  <c r="M33" i="9" s="1"/>
  <c r="J39" i="9"/>
  <c r="L43" i="9"/>
  <c r="M43" i="9" s="1"/>
  <c r="L67" i="9"/>
  <c r="M67" i="9" s="1"/>
  <c r="L26" i="9"/>
  <c r="M26" i="9" s="1"/>
  <c r="L42" i="9"/>
  <c r="M42" i="9" s="1"/>
  <c r="L51" i="9"/>
  <c r="M51" i="9" s="1"/>
  <c r="L55" i="9"/>
  <c r="M55" i="9" s="1"/>
  <c r="J68" i="9"/>
  <c r="L66" i="9"/>
  <c r="M66" i="9" s="1"/>
  <c r="L24" i="9"/>
  <c r="M24" i="9" s="1"/>
  <c r="J75" i="11"/>
  <c r="I75" i="11"/>
  <c r="J74" i="11"/>
  <c r="I74" i="11"/>
  <c r="B110" i="11"/>
  <c r="C110" i="11" s="1"/>
  <c r="H76" i="11"/>
  <c r="H77" i="11" s="1"/>
  <c r="J76" i="11"/>
  <c r="I71" i="11"/>
  <c r="I57" i="11"/>
  <c r="J57" i="11"/>
  <c r="H62" i="11"/>
  <c r="J62" i="11"/>
  <c r="H59" i="11"/>
  <c r="J59" i="11"/>
  <c r="H60" i="11"/>
  <c r="J60" i="11"/>
  <c r="H51" i="11"/>
  <c r="H52" i="11" s="1"/>
  <c r="J51" i="11"/>
  <c r="H61" i="11"/>
  <c r="J61" i="11"/>
  <c r="I50" i="11"/>
  <c r="I52" i="11" s="1"/>
  <c r="J50" i="11"/>
  <c r="I56" i="11"/>
  <c r="J56" i="11"/>
  <c r="I46" i="11"/>
  <c r="H18" i="11"/>
  <c r="I18" i="11"/>
  <c r="H16" i="11"/>
  <c r="I16" i="11"/>
  <c r="H20" i="11"/>
  <c r="I20" i="11"/>
  <c r="H19" i="11"/>
  <c r="I19" i="11"/>
  <c r="H31" i="11"/>
  <c r="H37" i="11" s="1"/>
  <c r="I31" i="11"/>
  <c r="I37" i="11" s="1"/>
  <c r="H15" i="11"/>
  <c r="I15" i="11"/>
  <c r="H17" i="11"/>
  <c r="I17" i="11"/>
  <c r="C23" i="10"/>
  <c r="G18" i="2"/>
  <c r="H18" i="2" s="1"/>
  <c r="I18" i="2" s="1"/>
  <c r="H19" i="2"/>
  <c r="I19" i="2" s="1"/>
  <c r="M19" i="2" s="1"/>
  <c r="N19" i="2" s="1"/>
  <c r="P19" i="2" s="1"/>
  <c r="K19" i="2"/>
  <c r="O19" i="2" s="1"/>
  <c r="H46" i="11"/>
  <c r="B31" i="2"/>
  <c r="F31" i="2" s="1"/>
  <c r="G23" i="12"/>
  <c r="H71" i="11"/>
  <c r="F43" i="10"/>
  <c r="F44" i="10" s="1"/>
  <c r="F33" i="10"/>
  <c r="F34" i="10" s="1"/>
  <c r="B23" i="10"/>
  <c r="G21" i="11"/>
  <c r="G63" i="11"/>
  <c r="G46" i="11"/>
  <c r="C26" i="2"/>
  <c r="D19" i="10" s="1"/>
  <c r="D21" i="10" s="1"/>
  <c r="G38" i="2"/>
  <c r="I38" i="2" s="1"/>
  <c r="R38" i="2" s="1"/>
  <c r="H8" i="9"/>
  <c r="G14" i="9"/>
  <c r="G39" i="9"/>
  <c r="G56" i="9"/>
  <c r="J56" i="9" s="1"/>
  <c r="H39" i="9"/>
  <c r="I55" i="4"/>
  <c r="I60" i="4"/>
  <c r="I54" i="4"/>
  <c r="I53" i="4"/>
  <c r="D14" i="3"/>
  <c r="D13" i="3"/>
  <c r="D12" i="3"/>
  <c r="D11" i="3"/>
  <c r="D10" i="3"/>
  <c r="N35" i="2"/>
  <c r="P14" i="9" l="1"/>
  <c r="H21" i="9"/>
  <c r="L18" i="9"/>
  <c r="L21" i="9" s="1"/>
  <c r="J21" i="9"/>
  <c r="M8" i="9"/>
  <c r="H28" i="11"/>
  <c r="B111" i="11" s="1"/>
  <c r="I28" i="11"/>
  <c r="I61" i="11"/>
  <c r="J77" i="11"/>
  <c r="N39" i="9"/>
  <c r="H14" i="9"/>
  <c r="J14" i="9"/>
  <c r="I77" i="11"/>
  <c r="N56" i="9"/>
  <c r="L30" i="9"/>
  <c r="M30" i="9"/>
  <c r="O30" i="9" s="1"/>
  <c r="L68" i="9"/>
  <c r="O68" i="9" s="1"/>
  <c r="M68" i="9"/>
  <c r="L45" i="9"/>
  <c r="M45" i="9"/>
  <c r="O45" i="9" s="1"/>
  <c r="M39" i="9"/>
  <c r="O39" i="9" s="1"/>
  <c r="L39" i="9"/>
  <c r="L12" i="9"/>
  <c r="N12" i="9"/>
  <c r="N13" i="9"/>
  <c r="L13" i="9"/>
  <c r="L11" i="9"/>
  <c r="N11" i="9"/>
  <c r="N10" i="9"/>
  <c r="L10" i="9"/>
  <c r="N9" i="9"/>
  <c r="L9" i="9"/>
  <c r="M56" i="9"/>
  <c r="O56" i="9" s="1"/>
  <c r="L56" i="9"/>
  <c r="J52" i="11"/>
  <c r="H63" i="11"/>
  <c r="J63" i="11"/>
  <c r="H21" i="11"/>
  <c r="I21" i="11"/>
  <c r="G20" i="2"/>
  <c r="J19" i="2"/>
  <c r="L19" i="2" s="1"/>
  <c r="K18" i="2"/>
  <c r="O18" i="2" s="1"/>
  <c r="O20" i="2" s="1"/>
  <c r="H20" i="2"/>
  <c r="J18" i="2"/>
  <c r="L18" i="2" s="1"/>
  <c r="M18" i="2"/>
  <c r="N18" i="2" s="1"/>
  <c r="P18" i="2" s="1"/>
  <c r="P20" i="2" s="1"/>
  <c r="I20" i="2"/>
  <c r="G31" i="10"/>
  <c r="G13" i="8"/>
  <c r="G27" i="8"/>
  <c r="I57" i="4"/>
  <c r="I63" i="4"/>
  <c r="F49" i="5"/>
  <c r="F54" i="5" s="1"/>
  <c r="D61" i="4"/>
  <c r="H61" i="4" s="1"/>
  <c r="D60" i="4"/>
  <c r="H60" i="4" s="1"/>
  <c r="H54" i="4"/>
  <c r="H55" i="4"/>
  <c r="H53" i="4"/>
  <c r="F46" i="4"/>
  <c r="G46" i="4" s="1"/>
  <c r="H46" i="4" s="1"/>
  <c r="F45" i="4"/>
  <c r="E28" i="4"/>
  <c r="E25" i="4"/>
  <c r="E26" i="4"/>
  <c r="E27" i="4"/>
  <c r="E24" i="4"/>
  <c r="C23" i="4"/>
  <c r="E23" i="4" s="1"/>
  <c r="C22" i="4"/>
  <c r="E22" i="4" s="1"/>
  <c r="C21" i="4"/>
  <c r="E21" i="4" s="1"/>
  <c r="C20" i="4"/>
  <c r="E20" i="4" s="1"/>
  <c r="I20" i="4" s="1"/>
  <c r="E19" i="4"/>
  <c r="I19" i="4" s="1"/>
  <c r="E17" i="4"/>
  <c r="C14" i="4"/>
  <c r="E14" i="4" s="1"/>
  <c r="C16" i="4"/>
  <c r="E16" i="4" s="1"/>
  <c r="C13" i="4"/>
  <c r="C12" i="4"/>
  <c r="H58" i="3"/>
  <c r="H59" i="3"/>
  <c r="H57" i="3"/>
  <c r="G64" i="3"/>
  <c r="G63" i="3"/>
  <c r="G57" i="3"/>
  <c r="G58" i="3"/>
  <c r="G59" i="3"/>
  <c r="G60" i="3"/>
  <c r="G56" i="3"/>
  <c r="G46" i="3"/>
  <c r="G47" i="3"/>
  <c r="G48" i="3"/>
  <c r="G49" i="3"/>
  <c r="G50" i="3"/>
  <c r="G51" i="3"/>
  <c r="G52" i="3"/>
  <c r="G45" i="3"/>
  <c r="G41" i="3"/>
  <c r="G40" i="3"/>
  <c r="G39" i="3"/>
  <c r="G31" i="3"/>
  <c r="G32" i="3"/>
  <c r="G33" i="3"/>
  <c r="G34" i="3"/>
  <c r="G35" i="3"/>
  <c r="G30" i="3"/>
  <c r="H22" i="3"/>
  <c r="H23" i="3"/>
  <c r="H24" i="3"/>
  <c r="H25" i="3"/>
  <c r="H21" i="3"/>
  <c r="G18" i="3"/>
  <c r="G10" i="3"/>
  <c r="H10" i="3" s="1"/>
  <c r="G11" i="3"/>
  <c r="H11" i="3" s="1"/>
  <c r="G12" i="3"/>
  <c r="H12" i="3" s="1"/>
  <c r="G13" i="3"/>
  <c r="H13" i="3" s="1"/>
  <c r="G14" i="3"/>
  <c r="H14" i="3" s="1"/>
  <c r="H48" i="3"/>
  <c r="H56" i="3"/>
  <c r="H45" i="3"/>
  <c r="H39" i="3"/>
  <c r="H31" i="3"/>
  <c r="H32" i="3"/>
  <c r="H33" i="3"/>
  <c r="H34" i="3"/>
  <c r="H35" i="3"/>
  <c r="C53" i="3"/>
  <c r="C36" i="3"/>
  <c r="F41" i="2"/>
  <c r="B6" i="2"/>
  <c r="E27" i="2"/>
  <c r="F20" i="10" s="1"/>
  <c r="F22" i="10" s="1"/>
  <c r="B87" i="11" l="1"/>
  <c r="B86" i="11"/>
  <c r="I93" i="11" s="1"/>
  <c r="J100" i="11" s="1"/>
  <c r="M11" i="9"/>
  <c r="O11" i="9"/>
  <c r="M12" i="9"/>
  <c r="O12" i="9"/>
  <c r="M10" i="9"/>
  <c r="O10" i="9"/>
  <c r="M13" i="9"/>
  <c r="O13" i="9"/>
  <c r="M9" i="9"/>
  <c r="O9" i="9"/>
  <c r="B108" i="11"/>
  <c r="C108" i="11" s="1"/>
  <c r="B109" i="11"/>
  <c r="C109" i="11" s="1"/>
  <c r="N14" i="9"/>
  <c r="L14" i="9"/>
  <c r="E12" i="4"/>
  <c r="I12" i="4" s="1"/>
  <c r="H49" i="5"/>
  <c r="I49" i="5" s="1"/>
  <c r="F51" i="5"/>
  <c r="L38" i="2"/>
  <c r="K13" i="8" s="1"/>
  <c r="N20" i="2"/>
  <c r="S18" i="2" s="1"/>
  <c r="M20" i="2"/>
  <c r="E13" i="4"/>
  <c r="H13" i="4" s="1"/>
  <c r="I64" i="4"/>
  <c r="D69" i="4" s="1"/>
  <c r="D71" i="4" s="1"/>
  <c r="H56" i="4"/>
  <c r="B69" i="4" s="1"/>
  <c r="H14" i="4"/>
  <c r="I14" i="4"/>
  <c r="H23" i="4"/>
  <c r="I23" i="4"/>
  <c r="H25" i="4"/>
  <c r="I25" i="4"/>
  <c r="H16" i="4"/>
  <c r="I16" i="4"/>
  <c r="H24" i="4"/>
  <c r="I24" i="4"/>
  <c r="H28" i="4"/>
  <c r="I28" i="4"/>
  <c r="H21" i="4"/>
  <c r="I21" i="4"/>
  <c r="H27" i="4"/>
  <c r="I27" i="4"/>
  <c r="H17" i="4"/>
  <c r="I17" i="4"/>
  <c r="H22" i="4"/>
  <c r="I22" i="4"/>
  <c r="H26" i="4"/>
  <c r="I26" i="4"/>
  <c r="F47" i="4"/>
  <c r="H36" i="3"/>
  <c r="H15" i="3"/>
  <c r="E26" i="2"/>
  <c r="F19" i="10" s="1"/>
  <c r="F21" i="10" s="1"/>
  <c r="F23" i="10" s="1"/>
  <c r="D26" i="2"/>
  <c r="E19" i="10" s="1"/>
  <c r="E21" i="10" s="1"/>
  <c r="C27" i="2"/>
  <c r="D20" i="10" s="1"/>
  <c r="D22" i="10" s="1"/>
  <c r="D23" i="10" s="1"/>
  <c r="H62" i="4"/>
  <c r="B70" i="4" s="1"/>
  <c r="G45" i="4"/>
  <c r="H19" i="4"/>
  <c r="H20" i="4"/>
  <c r="G36" i="3"/>
  <c r="G53" i="3"/>
  <c r="G15" i="3"/>
  <c r="G39" i="2"/>
  <c r="I39" i="2" s="1"/>
  <c r="H38" i="2"/>
  <c r="H40" i="2"/>
  <c r="H33" i="10" s="1"/>
  <c r="G40" i="2"/>
  <c r="G33" i="10" s="1"/>
  <c r="H39" i="2"/>
  <c r="E41" i="2"/>
  <c r="M14" i="9" l="1"/>
  <c r="O15" i="9" s="1"/>
  <c r="O14" i="9"/>
  <c r="I95" i="11"/>
  <c r="K95" i="11" s="1"/>
  <c r="L70" i="9"/>
  <c r="C113" i="11"/>
  <c r="J95" i="11"/>
  <c r="J32" i="10" s="1"/>
  <c r="I32" i="10"/>
  <c r="M70" i="9"/>
  <c r="M72" i="9" s="1"/>
  <c r="J93" i="11"/>
  <c r="K100" i="11" s="1"/>
  <c r="I27" i="8"/>
  <c r="F53" i="5"/>
  <c r="F52" i="5"/>
  <c r="I13" i="8"/>
  <c r="G32" i="10"/>
  <c r="I41" i="2"/>
  <c r="I34" i="10" s="1"/>
  <c r="G93" i="11"/>
  <c r="H32" i="10"/>
  <c r="H93" i="11"/>
  <c r="J39" i="2"/>
  <c r="I13" i="4"/>
  <c r="I29" i="4" s="1"/>
  <c r="I31" i="10"/>
  <c r="K31" i="10"/>
  <c r="U18" i="2"/>
  <c r="V18" i="2" s="1"/>
  <c r="H27" i="8"/>
  <c r="J27" i="8" s="1"/>
  <c r="H13" i="8"/>
  <c r="H31" i="10"/>
  <c r="N39" i="2"/>
  <c r="D27" i="2"/>
  <c r="E20" i="10" s="1"/>
  <c r="E22" i="10" s="1"/>
  <c r="E23" i="10" s="1"/>
  <c r="L41" i="2"/>
  <c r="Q40" i="2"/>
  <c r="H43" i="10" s="1"/>
  <c r="J38" i="2"/>
  <c r="S38" i="2" s="1"/>
  <c r="C31" i="2"/>
  <c r="B32" i="2"/>
  <c r="F32" i="2" s="1"/>
  <c r="G47" i="4"/>
  <c r="H45" i="4"/>
  <c r="H47" i="4" s="1"/>
  <c r="B68" i="4" s="1"/>
  <c r="N38" i="2"/>
  <c r="I41" i="10"/>
  <c r="Q38" i="2"/>
  <c r="H34" i="8" s="1"/>
  <c r="G41" i="2"/>
  <c r="G34" i="10" s="1"/>
  <c r="H41" i="2"/>
  <c r="H34" i="10" s="1"/>
  <c r="N40" i="2"/>
  <c r="G43" i="10" s="1"/>
  <c r="Q39" i="2"/>
  <c r="K32" i="10" l="1"/>
  <c r="J102" i="11"/>
  <c r="I42" i="10" s="1"/>
  <c r="I44" i="10" s="1"/>
  <c r="L95" i="11"/>
  <c r="L32" i="10" s="1"/>
  <c r="K102" i="11"/>
  <c r="J42" i="10" s="1"/>
  <c r="L93" i="11"/>
  <c r="S39" i="2"/>
  <c r="K93" i="11"/>
  <c r="R39" i="2"/>
  <c r="H42" i="10"/>
  <c r="H100" i="11"/>
  <c r="G42" i="10"/>
  <c r="G100" i="11"/>
  <c r="W18" i="2"/>
  <c r="M38" i="2"/>
  <c r="G12" i="11"/>
  <c r="B12" i="11"/>
  <c r="J13" i="8"/>
  <c r="J31" i="10"/>
  <c r="H20" i="8"/>
  <c r="K34" i="8"/>
  <c r="H41" i="10"/>
  <c r="G20" i="8"/>
  <c r="G41" i="10"/>
  <c r="G34" i="8"/>
  <c r="J41" i="2"/>
  <c r="J34" i="10" s="1"/>
  <c r="C32" i="2"/>
  <c r="B5" i="9"/>
  <c r="J20" i="8"/>
  <c r="D31" i="2"/>
  <c r="E31" i="2"/>
  <c r="E32" i="2" s="1"/>
  <c r="N41" i="2"/>
  <c r="Q41" i="2"/>
  <c r="F12" i="4"/>
  <c r="H12" i="4" s="1"/>
  <c r="G32" i="4"/>
  <c r="L31" i="10" l="1"/>
  <c r="L13" i="8"/>
  <c r="G44" i="10"/>
  <c r="L102" i="11"/>
  <c r="I20" i="8"/>
  <c r="I100" i="11"/>
  <c r="R41" i="2"/>
  <c r="S41" i="2"/>
  <c r="K33" i="10"/>
  <c r="H44" i="10"/>
  <c r="J41" i="10"/>
  <c r="K20" i="8"/>
  <c r="L20" i="8" s="1"/>
  <c r="Y18" i="2"/>
  <c r="X18" i="2"/>
  <c r="M41" i="2"/>
  <c r="M34" i="8"/>
  <c r="I34" i="8"/>
  <c r="U19" i="2"/>
  <c r="V19" i="2" s="1"/>
  <c r="J34" i="8"/>
  <c r="L34" i="8" s="1"/>
  <c r="G5" i="9"/>
  <c r="D32" i="2"/>
  <c r="G6" i="3" s="1"/>
  <c r="B6" i="3"/>
  <c r="B73" i="4"/>
  <c r="B74" i="4" s="1"/>
  <c r="F31" i="4"/>
  <c r="F32" i="4"/>
  <c r="H32" i="4" s="1"/>
  <c r="I32" i="4" s="1"/>
  <c r="I35" i="4" s="1"/>
  <c r="K41" i="10" l="1"/>
  <c r="J44" i="10"/>
  <c r="K42" i="10"/>
  <c r="L100" i="11"/>
  <c r="H31" i="4"/>
  <c r="I31" i="4" s="1"/>
  <c r="I34" i="4" s="1"/>
  <c r="J34" i="4" s="1"/>
  <c r="W19" i="2"/>
  <c r="V20" i="2"/>
  <c r="H29" i="4"/>
  <c r="H34" i="4" s="1"/>
  <c r="K44" i="10" l="1"/>
  <c r="X19" i="2"/>
  <c r="X20" i="2" s="1"/>
  <c r="Y19" i="2"/>
  <c r="Y20" i="2" s="1"/>
  <c r="W20" i="2"/>
  <c r="H35" i="4"/>
  <c r="J35" i="4"/>
  <c r="B67" i="4" l="1"/>
  <c r="B71" i="4" l="1"/>
  <c r="C67" i="4" s="1"/>
  <c r="C68" i="4" l="1"/>
  <c r="G71" i="4"/>
  <c r="C70" i="4"/>
  <c r="C69" i="4"/>
  <c r="G69" i="4"/>
  <c r="C71" i="4" l="1"/>
</calcChain>
</file>

<file path=xl/sharedStrings.xml><?xml version="1.0" encoding="utf-8"?>
<sst xmlns="http://schemas.openxmlformats.org/spreadsheetml/2006/main" count="1226" uniqueCount="595">
  <si>
    <t>Meat</t>
  </si>
  <si>
    <t>Grains</t>
  </si>
  <si>
    <t>Notes</t>
  </si>
  <si>
    <t>Cattle</t>
  </si>
  <si>
    <t>Hog</t>
  </si>
  <si>
    <t>Chicken</t>
  </si>
  <si>
    <t>Duck</t>
  </si>
  <si>
    <t>Fish</t>
  </si>
  <si>
    <t>Lamb</t>
  </si>
  <si>
    <t>Dairy</t>
  </si>
  <si>
    <t>Goat Milk</t>
  </si>
  <si>
    <t>Powdered Milk</t>
  </si>
  <si>
    <t>Powered Eggs</t>
  </si>
  <si>
    <t>Powdered Peanut Butter</t>
  </si>
  <si>
    <t>Egg</t>
  </si>
  <si>
    <t>Rice</t>
  </si>
  <si>
    <t>Beans</t>
  </si>
  <si>
    <t>Pasta</t>
  </si>
  <si>
    <t>Wheat Berries</t>
  </si>
  <si>
    <t>Used to make flour</t>
  </si>
  <si>
    <t>~ 60% of on-the-hoof weight is edible/usable, calorie count assumes max harvesting of meat, internal organs, stewing bones etc.</t>
  </si>
  <si>
    <t>Example</t>
  </si>
  <si>
    <t>~ 38% of on-the-hoof weight is edible/usable, calorie count assumes max harvesting of meat, internal organs, stewing bones etc.</t>
  </si>
  <si>
    <t>60 lb goat x 38%=22.5 lbs edible x 777 calories/lb = 17,5000 calories</t>
  </si>
  <si>
    <t>250 lb hog x 60%=150 lbs edible x 1,357 calories/lb = 203,571 calories</t>
  </si>
  <si>
    <t>135 lb lamb x 60%=81 lbs edible x 1,110 calories/lb = 89,910 calories</t>
  </si>
  <si>
    <t>meat, skin, organs</t>
  </si>
  <si>
    <t>Average 2-3 lb chicken</t>
  </si>
  <si>
    <t>Average 2-3 lb duck</t>
  </si>
  <si>
    <t>Black Bear - Male</t>
  </si>
  <si>
    <t>Goose - Male</t>
  </si>
  <si>
    <t>Goose - Female</t>
  </si>
  <si>
    <t>Dear - Male</t>
  </si>
  <si>
    <t>Deer - Female</t>
  </si>
  <si>
    <t>Average 10 lb male goose x 60% edible x 730 calories/lb = 4,380</t>
  </si>
  <si>
    <t>Average 8 lb female goose x 60% edible x 730 calories/lb = 3,504</t>
  </si>
  <si>
    <t>~ 55% of weight is edible/usable, calorie count assumes max harvesting of meat, internal organs, stewing bones etc.</t>
  </si>
  <si>
    <t>150 lb female bear x 55%= 83 lbs x 730 calories/lb = 60,590 calories</t>
  </si>
  <si>
    <t>450 lb male bear x 55%=248 lbs x 730 calories/lb = 181,040 calories</t>
  </si>
  <si>
    <t>1 lb</t>
  </si>
  <si>
    <t>1 Qt</t>
  </si>
  <si>
    <t>Average goat produces 2-3 Qts of milk/day for 10 monthes of the year</t>
  </si>
  <si>
    <t>5 Gal plastic bucket holds 30-32 lbs or ~51,000 calories</t>
  </si>
  <si>
    <t>5 Gal plastic bucket holds 30-32 lbs or ~48,600 calories</t>
  </si>
  <si>
    <t>5 Gal plastic bucket holds 30-32 lbs or ~52,200 calories</t>
  </si>
  <si>
    <t>5 Gal plastic bucket holds 30-32 lbs or ~47,100 calories</t>
  </si>
  <si>
    <t>Average laying hen produces .75 eggs per day = 5 eggs per week</t>
  </si>
  <si>
    <t>~ 60% edible/usable meat, skin, organs</t>
  </si>
  <si>
    <t>~ 70% edible/usable meat</t>
  </si>
  <si>
    <t>Average 1.5 lb stream trount x 70% x 600 calories/lb =  630 calories</t>
  </si>
  <si>
    <t>1 avg wild rabbit</t>
  </si>
  <si>
    <t>~ 45% of weight is edible/usable, calorie count assumes max harvesting of meat, internal organs, stewing bones etc.</t>
  </si>
  <si>
    <t>105  lb female deer x 45%=47 lbs x 544 calories/lb = 25,704 calories</t>
  </si>
  <si>
    <t>160  lb male deer x 45%=72 lbs x 544 calories/lb = 39,168 calories</t>
  </si>
  <si>
    <t>Average goat milk production  = 2.5 Qts/day = 1,683 calories</t>
  </si>
  <si>
    <t>Calorie Sources</t>
  </si>
  <si>
    <t>Squirrel</t>
  </si>
  <si>
    <t>1 avg wild squirrel</t>
  </si>
  <si>
    <t>Fruit &amp; Vegtables</t>
  </si>
  <si>
    <t>Cucumber</t>
  </si>
  <si>
    <t>Carrot</t>
  </si>
  <si>
    <t>Green Beans</t>
  </si>
  <si>
    <t>Potato</t>
  </si>
  <si>
    <t>Corn</t>
  </si>
  <si>
    <t>Mushroom</t>
  </si>
  <si>
    <t>Bell Pepper</t>
  </si>
  <si>
    <t>Onion</t>
  </si>
  <si>
    <t>Sweet Potato</t>
  </si>
  <si>
    <t>Tomato</t>
  </si>
  <si>
    <t>Squash</t>
  </si>
  <si>
    <t>1 med size</t>
  </si>
  <si>
    <t>5 med size</t>
  </si>
  <si>
    <t>1 cup</t>
  </si>
  <si>
    <t>Apples</t>
  </si>
  <si>
    <t>Strawberries</t>
  </si>
  <si>
    <t>Watermelon</t>
  </si>
  <si>
    <t>1 Large</t>
  </si>
  <si>
    <t>1 Med</t>
  </si>
  <si>
    <t>8 Med berries</t>
  </si>
  <si>
    <t>Honeydew Melon</t>
  </si>
  <si>
    <t>Cantelouope Melon</t>
  </si>
  <si>
    <t>Food storage requirements calcluators</t>
  </si>
  <si>
    <t>https://ezprepping.com/food-storage-calculator/</t>
  </si>
  <si>
    <t>https://foodassets.com/info/food-calculator.html</t>
  </si>
  <si>
    <t>https://readysquirrel.com/how-much-food-to-stockpile-per-person/</t>
  </si>
  <si>
    <t>No 10 can sealer and supploes</t>
  </si>
  <si>
    <t>https://www.thefoodguys.com/foodcalc.html</t>
  </si>
  <si>
    <t>$/calorie</t>
  </si>
  <si>
    <t># of Men</t>
  </si>
  <si>
    <t># of Women</t>
  </si>
  <si>
    <t>Children = Adults</t>
  </si>
  <si>
    <t>Monthly Equivalent</t>
  </si>
  <si>
    <t>Need a mix of no-cook/ready to eat meals and prepared meals (recco 45-60 days of ready to eat)</t>
  </si>
  <si>
    <t>Per Day</t>
  </si>
  <si>
    <t>Per Year</t>
  </si>
  <si>
    <t>Total Members</t>
  </si>
  <si>
    <t>% Men Estimate</t>
  </si>
  <si>
    <t>% Women Estimate</t>
  </si>
  <si>
    <t>Per Man</t>
  </si>
  <si>
    <t>Per Woman</t>
  </si>
  <si>
    <t>Total Calories Required</t>
  </si>
  <si>
    <t>All Men</t>
  </si>
  <si>
    <t>All Women</t>
  </si>
  <si>
    <t>Cost for Calories Required</t>
  </si>
  <si>
    <t>Total Cost for Calories Required</t>
  </si>
  <si>
    <t>Cost per day for Calories Required</t>
  </si>
  <si>
    <t>Total Grains</t>
  </si>
  <si>
    <t>Wheat</t>
  </si>
  <si>
    <t>Oats</t>
  </si>
  <si>
    <t>Flour</t>
  </si>
  <si>
    <t>Corn Meal</t>
  </si>
  <si>
    <t>Lbs</t>
  </si>
  <si>
    <t># 5G Buckets</t>
  </si>
  <si>
    <r>
      <rPr>
        <vertAlign val="superscript"/>
        <sz val="12"/>
        <color theme="1"/>
        <rFont val="Calibri (Body)"/>
      </rPr>
      <t xml:space="preserve">1 </t>
    </r>
    <r>
      <rPr>
        <sz val="12"/>
        <color theme="1"/>
        <rFont val="Calibri"/>
        <family val="2"/>
        <scheme val="minor"/>
      </rPr>
      <t>Requires a grain/flour mill</t>
    </r>
  </si>
  <si>
    <r>
      <rPr>
        <vertAlign val="superscript"/>
        <sz val="12"/>
        <color theme="1"/>
        <rFont val="Calibri (Body)"/>
      </rPr>
      <t xml:space="preserve">2 </t>
    </r>
    <r>
      <rPr>
        <sz val="12"/>
        <color theme="1"/>
        <rFont val="Calibri"/>
        <family val="2"/>
        <scheme val="minor"/>
      </rPr>
      <t>Bacon, Beef, Beef Jerky, Spam, Chicken, Fish (Tuna Fish, etc), Ham, Hamburger, Lamb, Lunch Meat, Mutton, Pepperoni, Pork, Turkey, and more. Canned, dehydrated, and freeze-dried meats are great for long term food storage. *Freeze-dried and dehydrated meats weigh less. 
(conversion: 1 lb/kg meat = 1/3 lb/kg Freeze-dried meat)</t>
    </r>
  </si>
  <si>
    <r>
      <rPr>
        <vertAlign val="superscript"/>
        <sz val="12"/>
        <color theme="1"/>
        <rFont val="Calibri (Body)"/>
      </rPr>
      <t>3</t>
    </r>
    <r>
      <rPr>
        <sz val="12"/>
        <color theme="1"/>
        <rFont val="Calibri"/>
        <family val="2"/>
        <scheme val="minor"/>
      </rPr>
      <t xml:space="preserve"> Shortening, Vegetable Oil, Peanut Butter, Salad Dressing, Mayo, and Total Fats and Oils</t>
    </r>
  </si>
  <si>
    <t>Vegtable Oil</t>
  </si>
  <si>
    <t>Shortening</t>
  </si>
  <si>
    <t>Salad dressing</t>
  </si>
  <si>
    <t>Mayonise</t>
  </si>
  <si>
    <t>Peanut Butter</t>
  </si>
  <si>
    <t>Gal</t>
  </si>
  <si>
    <t>Qts</t>
  </si>
  <si>
    <t>Total Fats &amp; Oils</t>
  </si>
  <si>
    <r>
      <rPr>
        <vertAlign val="superscript"/>
        <sz val="12"/>
        <color theme="1"/>
        <rFont val="Calibri (Body)"/>
      </rPr>
      <t xml:space="preserve">4 </t>
    </r>
    <r>
      <rPr>
        <sz val="12"/>
        <color theme="1"/>
        <rFont val="Calibri"/>
        <family val="2"/>
        <scheme val="minor"/>
      </rPr>
      <t>Dried Beans, Soy Beans, Lima Beans, Split Peas, Lentils, Dry Soup Mix, and Total Legumes</t>
    </r>
  </si>
  <si>
    <t>Dry Beans</t>
  </si>
  <si>
    <t>Split Peas</t>
  </si>
  <si>
    <t>Soy Beans</t>
  </si>
  <si>
    <t>Lentils</t>
  </si>
  <si>
    <t>Dry Soup Mix</t>
  </si>
  <si>
    <t>Lima  Beans</t>
  </si>
  <si>
    <t>Dry Milk</t>
  </si>
  <si>
    <t>Cans Evaporated Milk</t>
  </si>
  <si>
    <t>Extra/Other Dairy</t>
  </si>
  <si>
    <t>Cans</t>
  </si>
  <si>
    <t>Total Breens &amp; Legumes</t>
  </si>
  <si>
    <r>
      <rPr>
        <vertAlign val="superscript"/>
        <sz val="12"/>
        <color theme="1"/>
        <rFont val="Calibri (Body)"/>
      </rPr>
      <t xml:space="preserve">5 </t>
    </r>
    <r>
      <rPr>
        <sz val="12"/>
        <color theme="1"/>
        <rFont val="Calibri"/>
        <family val="2"/>
        <scheme val="minor"/>
      </rPr>
      <t>Sugar, Brown Sugar, Honey, Corn Syrup, Jams, Powdered Dring Mixs, Molasses, Flavored Gelatin, Total Sugars</t>
    </r>
  </si>
  <si>
    <r>
      <t>SUGARS</t>
    </r>
    <r>
      <rPr>
        <b/>
        <vertAlign val="superscript"/>
        <sz val="12"/>
        <color theme="1"/>
        <rFont val="Calibri (Body)"/>
      </rPr>
      <t>5</t>
    </r>
  </si>
  <si>
    <t>Sugar</t>
  </si>
  <si>
    <t>Jams</t>
  </si>
  <si>
    <t>Powered Juice Mix</t>
  </si>
  <si>
    <t>Brown Sugar</t>
  </si>
  <si>
    <t>Corn Syrup</t>
  </si>
  <si>
    <t>Honey</t>
  </si>
  <si>
    <t>Molasses</t>
  </si>
  <si>
    <t>Jello Mix</t>
  </si>
  <si>
    <t>Total Sugars</t>
  </si>
  <si>
    <t>Salt</t>
  </si>
  <si>
    <t>Yeast</t>
  </si>
  <si>
    <t>Baking Powder</t>
  </si>
  <si>
    <t>Baking Soda</t>
  </si>
  <si>
    <t>Vinegar</t>
  </si>
  <si>
    <r>
      <rPr>
        <vertAlign val="superscript"/>
        <sz val="12"/>
        <color theme="1"/>
        <rFont val="Calibri (Body)"/>
      </rPr>
      <t xml:space="preserve">6 </t>
    </r>
    <r>
      <rPr>
        <sz val="12"/>
        <color theme="1"/>
        <rFont val="Calibri"/>
        <family val="2"/>
        <scheme val="minor"/>
      </rPr>
      <t>Fruit Ideas: Apples, Strawberries, Blueberries, Banana Chips, fruit Mixtures, Applesauce, and Fruit Juices.
Vegetable Ideas: Carrots, Corn, Green Beans, Peas, Potatoes, Onions, and Tomatoes.
The best shelf-stable fruits and vegetables include freeze-dried, canned, dehydrated, and frozen.</t>
    </r>
  </si>
  <si>
    <t>Canned Fruits &amp; Veggies</t>
  </si>
  <si>
    <t>Dired Fruit &amp; Veggies</t>
  </si>
  <si>
    <t>Food Item</t>
  </si>
  <si>
    <t>White Flour</t>
  </si>
  <si>
    <t>Cornmeal</t>
  </si>
  <si>
    <t>Popcorn</t>
  </si>
  <si>
    <t>Rolled Oats</t>
  </si>
  <si>
    <t>White Rice</t>
  </si>
  <si>
    <t>Dried Beans</t>
  </si>
  <si>
    <t>Lima Beans</t>
  </si>
  <si>
    <t>White Sugar</t>
  </si>
  <si>
    <t>Powdered Eggs</t>
  </si>
  <si>
    <t>Calories</t>
  </si>
  <si>
    <t>Total Calories</t>
  </si>
  <si>
    <t>Net Edible Pounds</t>
  </si>
  <si>
    <t>Calories/ Edible Pounds</t>
  </si>
  <si>
    <t>Black Bear - Female</t>
  </si>
  <si>
    <t>Fish(stream trout)</t>
  </si>
  <si>
    <t>Total Calories for Year 1</t>
  </si>
  <si>
    <t>Total Calories Per Month In Year 1</t>
  </si>
  <si>
    <t>Total Calories for 1 ea head</t>
  </si>
  <si>
    <t>Total Number of heads In Year 1</t>
  </si>
  <si>
    <t>Number of heads Per Month In Year 1</t>
  </si>
  <si>
    <t>Eggs</t>
  </si>
  <si>
    <t>Measure</t>
  </si>
  <si>
    <t># of eggs</t>
  </si>
  <si>
    <t>Daily Quantity Per Head</t>
  </si>
  <si>
    <t>Total Daily Calories for 1 ea head</t>
  </si>
  <si>
    <t>Number of planned heads Year 1</t>
  </si>
  <si>
    <t>Total Calories Per Day In Year 1</t>
  </si>
  <si>
    <t>Used to make corn meal</t>
  </si>
  <si>
    <t>Calories per Pound</t>
  </si>
  <si>
    <t>Annual Pounds Produced</t>
  </si>
  <si>
    <t>1 Lb</t>
  </si>
  <si>
    <t>Mix of Vegtables</t>
  </si>
  <si>
    <t>Mix of Fruits</t>
  </si>
  <si>
    <t>Total All Sources</t>
  </si>
  <si>
    <t>Grand Total</t>
  </si>
  <si>
    <t>Size/Quantity/Head</t>
  </si>
  <si>
    <t>1,000 lb steer x 60%=598 lbs edible x 1,137 calories/lb = 679,926calories</t>
  </si>
  <si>
    <t>Calorie Content (total calories)</t>
  </si>
  <si>
    <t>Calorie Content (per edible pound)</t>
  </si>
  <si>
    <t>Food resources and information</t>
  </si>
  <si>
    <t>https://beefjerkyhub.com/how-much-beef-jerky-from-one-cow</t>
  </si>
  <si>
    <t>https://www.covecreekfarm.com/interesting-facts-about-beef-jerky/</t>
  </si>
  <si>
    <t>Pemmican</t>
  </si>
  <si>
    <t>Jerky</t>
  </si>
  <si>
    <t>https://carnivoreaurelius.com/pemmican/</t>
  </si>
  <si>
    <t>http://www.traditionaltx.us/images/PEMMICAN.pdf</t>
  </si>
  <si>
    <t>https://savoringthepast.net/2021/11/25/pemmican/</t>
  </si>
  <si>
    <t>https://preparednessadvice.com/how-to-make-pemmican/</t>
  </si>
  <si>
    <t>Food storage Planning Factors</t>
  </si>
  <si>
    <t>Slicing tomato</t>
  </si>
  <si>
    <t>Sweet pepper</t>
  </si>
  <si>
    <t>Cherry tomato</t>
  </si>
  <si>
    <t>Pole snap bean</t>
  </si>
  <si>
    <t>Bush snap bean</t>
  </si>
  <si>
    <t>Garlic</t>
  </si>
  <si>
    <t>Snow/snap pea</t>
  </si>
  <si>
    <t>Summer squash</t>
  </si>
  <si>
    <t>Bulb onion</t>
  </si>
  <si>
    <t>Top 10 Mid-Atlantic Vegatable Crops</t>
  </si>
  <si>
    <t>Pans for making Pemmican</t>
  </si>
  <si>
    <t>Food processors</t>
  </si>
  <si>
    <t>Fans (wheat processing)</t>
  </si>
  <si>
    <t>Food Resources &amp; Planning Factors</t>
  </si>
  <si>
    <t>MUST HAVE food perservation/preperation tools and equipment</t>
  </si>
  <si>
    <t>Corn Shellers</t>
  </si>
  <si>
    <t>Grain/flour mills</t>
  </si>
  <si>
    <t>Canning equipment and supplies</t>
  </si>
  <si>
    <t>Commerical can openers</t>
  </si>
  <si>
    <t>Meat grinders</t>
  </si>
  <si>
    <t>Bread baking pans</t>
  </si>
  <si>
    <t>Commercial cooking equipment</t>
  </si>
  <si>
    <t>Plastic sorage buckets</t>
  </si>
  <si>
    <t>Mylar storage bags and sealers</t>
  </si>
  <si>
    <t>Large wood fired stoves</t>
  </si>
  <si>
    <t>Calorie Planning Requirements</t>
  </si>
  <si>
    <t>Days per Month</t>
  </si>
  <si>
    <t>Months per Year</t>
  </si>
  <si>
    <t>Days per Year</t>
  </si>
  <si>
    <t>Per Month</t>
  </si>
  <si>
    <t>Fixed Planning Factors:</t>
  </si>
  <si>
    <t>Variable Planning Factors:</t>
  </si>
  <si>
    <t>Men - Avg Calories/day (year-round avg)</t>
  </si>
  <si>
    <t>Woman - Avg Calories/day (year-round avg)</t>
  </si>
  <si>
    <t>Calorie Calculations Planning Factors</t>
  </si>
  <si>
    <t>Calorie Sources Distrbution</t>
  </si>
  <si>
    <t>Annual Percentage</t>
  </si>
  <si>
    <t>Per Person</t>
  </si>
  <si>
    <t>Macaroni Pasta</t>
  </si>
  <si>
    <t>Pounds in 5 Gallon Bucket</t>
  </si>
  <si>
    <t>Per 6 Months</t>
  </si>
  <si>
    <t>Blended (M/F) Calorie Calculation Planning Factors</t>
  </si>
  <si>
    <t xml:space="preserve">Per Member </t>
  </si>
  <si>
    <t>Meat (w/Cattle into Pemmican)</t>
  </si>
  <si>
    <t>SUGARS</t>
  </si>
  <si>
    <t>COOKING ESSENTIALS</t>
  </si>
  <si>
    <t>Freeze dried food sources (best value)</t>
  </si>
  <si>
    <t>1,000 lb steer = 300 lbs suitable for pemmican; 3lb  of meat = 1lb of pemmican meat; plus 1 lb suet/lb of meat = 200 pounds of pemmican x 3000 calories/lb = 900,000 total calories</t>
  </si>
  <si>
    <t>1,000 lb steer = 200 lbs suitable for jerky; 3lb  of meat = 1lb of jerky = 67 lbs of jerky x 1860 calories = 124,620 total calories</t>
  </si>
  <si>
    <t>1,000 lb steer  = 67 lbs of jerky x 1,860 calories = 124,620 total calories</t>
  </si>
  <si>
    <t>1,000 lb steer  =  300 lbs of Pemmican x 3,500 calories = 700,000 total calories</t>
  </si>
  <si>
    <t>Total Calories (eating all cattle meat directly)</t>
  </si>
  <si>
    <t>Total Calories (converting max cattle meat to Jerky + eat remaining)</t>
  </si>
  <si>
    <t>Total Calories (converting max cattle meat to Pemmican + eat remaining)</t>
  </si>
  <si>
    <t>Corn (dry land)</t>
  </si>
  <si>
    <t>Acres Req'd</t>
  </si>
  <si>
    <t>1 Bushel in Lbs</t>
  </si>
  <si>
    <t>Avg Yield (Bushels/Acre)</t>
  </si>
  <si>
    <t>Lbs per acre</t>
  </si>
  <si>
    <t>Vegatables</t>
  </si>
  <si>
    <t>Mix of Fruit &amp; Berries</t>
  </si>
  <si>
    <t>Nuts</t>
  </si>
  <si>
    <t>Avg Calories per Pound</t>
  </si>
  <si>
    <t>Mixed Veg - Lbs Per Acre</t>
  </si>
  <si>
    <t>Step 1</t>
  </si>
  <si>
    <t>Step 2</t>
  </si>
  <si>
    <t>Percent</t>
  </si>
  <si>
    <t>Number</t>
  </si>
  <si>
    <t>Step 3</t>
  </si>
  <si>
    <r>
      <rPr>
        <b/>
        <sz val="12"/>
        <color theme="1"/>
        <rFont val="Calibri"/>
        <family val="2"/>
        <scheme val="minor"/>
      </rPr>
      <t>Source 1:</t>
    </r>
    <r>
      <rPr>
        <sz val="12"/>
        <color theme="1"/>
        <rFont val="Calibri"/>
        <family val="2"/>
        <scheme val="minor"/>
      </rPr>
      <t xml:space="preserve"> On-hand ready-to-eat freeze dried food/meals</t>
    </r>
  </si>
  <si>
    <t>Total Number of ALL Ranch Members (Members &amp; Staff)</t>
  </si>
  <si>
    <t>Total Number of Ranch Members &amp; Staff who are MALE</t>
  </si>
  <si>
    <t>1 Month = 8.3%</t>
  </si>
  <si>
    <t>3 Months = 25%</t>
  </si>
  <si>
    <t>2 Months = 16.7%</t>
  </si>
  <si>
    <t>4 Months = 33.3%</t>
  </si>
  <si>
    <t>5 Month = 41.67%</t>
  </si>
  <si>
    <t>6 Months = 50%</t>
  </si>
  <si>
    <t>7 Months = 58.3%</t>
  </si>
  <si>
    <t>8 Months = 66.7%</t>
  </si>
  <si>
    <t>9 Month = 75%</t>
  </si>
  <si>
    <t>10 Months = 83.3%</t>
  </si>
  <si>
    <t>11 Months = 91.7%</t>
  </si>
  <si>
    <t>12 Months = 100%</t>
  </si>
  <si>
    <t>Total Number of Ranch Members &amp; Staff who are FEMALE</t>
  </si>
  <si>
    <t>--------------&gt;</t>
  </si>
  <si>
    <t>Percent Options</t>
  </si>
  <si>
    <t>Gross Size/Wt (lbs) at Slaughter</t>
  </si>
  <si>
    <t>Laying Hens</t>
  </si>
  <si>
    <t>Chicken (fryer)</t>
  </si>
  <si>
    <t>Req'd Grain Acres Under Cultivation</t>
  </si>
  <si>
    <t>Total Req'd Acres Under Cultivation</t>
  </si>
  <si>
    <t>Req'd Veg/Fruit Acres Under Cultivation</t>
  </si>
  <si>
    <t>Totals</t>
  </si>
  <si>
    <t>Food Source % Pull Down Menu Choices</t>
  </si>
  <si>
    <t>Hog Weight (lbs) Menu Options</t>
  </si>
  <si>
    <t>Cattle Weight (lbs) Menu Options</t>
  </si>
  <si>
    <t>Rabbit - wild</t>
  </si>
  <si>
    <t>Rabbit - Meat</t>
  </si>
  <si>
    <t>1 avg 5 lb Meat Rabbit X 60%=3lbs edible x 784 calories/lb = 2352</t>
  </si>
  <si>
    <t>~ 60% of weight is edible/usable, calorie count assumes max harvesting of meat, internal organs, stewing bones etc.</t>
  </si>
  <si>
    <t># of 1200 Lb  Round Hay Bales Req'd Per Yr</t>
  </si>
  <si>
    <t>Kid Goat</t>
  </si>
  <si>
    <t>40 lb goat x 38%=15.2 lbs edible x 777 calories/lb = 11,810 calories</t>
  </si>
  <si>
    <t>Kid Meat Goat</t>
  </si>
  <si>
    <t>Rabbit - meat</t>
  </si>
  <si>
    <r>
      <t>Adult Goat</t>
    </r>
    <r>
      <rPr>
        <vertAlign val="superscript"/>
        <sz val="12"/>
        <color theme="1"/>
        <rFont val="Calibri (Body)"/>
      </rPr>
      <t>1</t>
    </r>
  </si>
  <si>
    <r>
      <rPr>
        <vertAlign val="superscript"/>
        <sz val="12"/>
        <color theme="1"/>
        <rFont val="Calibri (Body)"/>
      </rPr>
      <t xml:space="preserve">1 </t>
    </r>
    <r>
      <rPr>
        <sz val="12"/>
        <color theme="1"/>
        <rFont val="Calibri"/>
        <family val="2"/>
        <scheme val="minor"/>
      </rPr>
      <t>much better to get calories from an adult female goat via milk than to slaughter</t>
    </r>
  </si>
  <si>
    <r>
      <t>Rabbit - meat</t>
    </r>
    <r>
      <rPr>
        <vertAlign val="superscript"/>
        <sz val="12"/>
        <color theme="1"/>
        <rFont val="Calibri (Body)"/>
      </rPr>
      <t>2</t>
    </r>
  </si>
  <si>
    <r>
      <t>Cattle into Beef Jerky</t>
    </r>
    <r>
      <rPr>
        <vertAlign val="superscript"/>
        <sz val="12"/>
        <color theme="1"/>
        <rFont val="Calibri (Body)"/>
      </rPr>
      <t>3</t>
    </r>
    <r>
      <rPr>
        <sz val="12"/>
        <color theme="1"/>
        <rFont val="Calibri"/>
        <family val="2"/>
        <scheme val="minor"/>
      </rPr>
      <t xml:space="preserve"> + eat remaining</t>
    </r>
  </si>
  <si>
    <r>
      <t>Cattle into Pemmican</t>
    </r>
    <r>
      <rPr>
        <vertAlign val="superscript"/>
        <sz val="12"/>
        <color theme="1"/>
        <rFont val="Calibri (Body)"/>
      </rPr>
      <t>4</t>
    </r>
    <r>
      <rPr>
        <sz val="12"/>
        <color theme="1"/>
        <rFont val="Calibri"/>
        <family val="2"/>
        <scheme val="minor"/>
      </rPr>
      <t xml:space="preserve"> + eat remaining</t>
    </r>
  </si>
  <si>
    <r>
      <rPr>
        <vertAlign val="superscript"/>
        <sz val="12"/>
        <color theme="1"/>
        <rFont val="Calibri (Body)"/>
      </rPr>
      <t>4</t>
    </r>
    <r>
      <rPr>
        <sz val="12"/>
        <color theme="1"/>
        <rFont val="Calibri"/>
        <family val="2"/>
        <scheme val="minor"/>
      </rPr>
      <t xml:space="preserve"> ~40% max of a head of cattle's overall on-the-hoof weight is suitable to be turned into Pemmican and ~3 lbs of meat &amp; 1 lb of suet required to make 1 lb of Pemmican</t>
    </r>
  </si>
  <si>
    <r>
      <t>Cattle</t>
    </r>
    <r>
      <rPr>
        <vertAlign val="superscript"/>
        <sz val="12"/>
        <color theme="1"/>
        <rFont val="Calibri (Body)"/>
      </rPr>
      <t>5</t>
    </r>
  </si>
  <si>
    <t>Adult Goat Milk</t>
  </si>
  <si>
    <r>
      <t>Number of planned heads Year 1</t>
    </r>
    <r>
      <rPr>
        <b/>
        <vertAlign val="superscript"/>
        <sz val="14"/>
        <color theme="1"/>
        <rFont val="Calibri (Body)"/>
      </rPr>
      <t>1</t>
    </r>
  </si>
  <si>
    <r>
      <t>Total Calories for Year 1</t>
    </r>
    <r>
      <rPr>
        <b/>
        <vertAlign val="superscript"/>
        <sz val="14"/>
        <color theme="1"/>
        <rFont val="Calibri (Body)"/>
      </rPr>
      <t>2</t>
    </r>
  </si>
  <si>
    <r>
      <rPr>
        <vertAlign val="superscript"/>
        <sz val="12"/>
        <color theme="1"/>
        <rFont val="Calibri (Body)"/>
      </rPr>
      <t>2</t>
    </r>
    <r>
      <rPr>
        <sz val="12"/>
        <color theme="1"/>
        <rFont val="Calibri"/>
        <family val="2"/>
        <scheme val="minor"/>
      </rPr>
      <t xml:space="preserve"> Based on gettng goat milk 10 months of the year &amp; having 2 breading rams</t>
    </r>
  </si>
  <si>
    <r>
      <t>Cattle into Beef Jerky</t>
    </r>
    <r>
      <rPr>
        <vertAlign val="superscript"/>
        <sz val="12"/>
        <color theme="1"/>
        <rFont val="Calibri (Body)"/>
      </rPr>
      <t>2</t>
    </r>
  </si>
  <si>
    <r>
      <t>Cattle into Pemmican</t>
    </r>
    <r>
      <rPr>
        <vertAlign val="superscript"/>
        <sz val="12"/>
        <color theme="1"/>
        <rFont val="Calibri (Body)"/>
      </rPr>
      <t>3</t>
    </r>
  </si>
  <si>
    <r>
      <rPr>
        <vertAlign val="superscript"/>
        <sz val="12"/>
        <color theme="1"/>
        <rFont val="Calibri (Body)"/>
      </rPr>
      <t>1</t>
    </r>
    <r>
      <rPr>
        <sz val="12"/>
        <color theme="1"/>
        <rFont val="Calibri"/>
        <family val="2"/>
        <scheme val="minor"/>
      </rPr>
      <t xml:space="preserve"> Much better to get calories from a goat via milk than to slaughter</t>
    </r>
  </si>
  <si>
    <r>
      <rPr>
        <vertAlign val="superscript"/>
        <sz val="12"/>
        <color theme="1"/>
        <rFont val="Calibri (Body)"/>
      </rPr>
      <t xml:space="preserve">2 </t>
    </r>
    <r>
      <rPr>
        <sz val="12"/>
        <color theme="1"/>
        <rFont val="Calibri"/>
        <family val="2"/>
        <scheme val="minor"/>
      </rPr>
      <t>~ 20% max of a head of cattle's overall on-the-hoof weight is suitable to be turned into Jerky and ~3 lbs of meat required to make 1 lb of jerky</t>
    </r>
  </si>
  <si>
    <r>
      <rPr>
        <vertAlign val="superscript"/>
        <sz val="12"/>
        <color theme="1"/>
        <rFont val="Calibri (Body)"/>
      </rPr>
      <t>3</t>
    </r>
    <r>
      <rPr>
        <sz val="12"/>
        <color theme="1"/>
        <rFont val="Calibri"/>
        <family val="2"/>
        <scheme val="minor"/>
      </rPr>
      <t xml:space="preserve"> ~40% max of a head of cattle's overall on-the-hoof weight is suitable to be turned into Pemmican and ~3 lbs of meat &amp; 1 lb of suet required to make 1 lb of Pemmican</t>
    </r>
  </si>
  <si>
    <r>
      <t>Calorie Requirements</t>
    </r>
    <r>
      <rPr>
        <b/>
        <vertAlign val="superscript"/>
        <sz val="16"/>
        <color theme="1"/>
        <rFont val="Calibri (Body)"/>
      </rPr>
      <t>1</t>
    </r>
  </si>
  <si>
    <r>
      <t>GRAINS</t>
    </r>
    <r>
      <rPr>
        <b/>
        <vertAlign val="superscript"/>
        <sz val="12"/>
        <color theme="1"/>
        <rFont val="Calibri (Body)"/>
      </rPr>
      <t>1</t>
    </r>
    <r>
      <rPr>
        <b/>
        <vertAlign val="superscript"/>
        <sz val="12"/>
        <color theme="1"/>
        <rFont val="Calibri"/>
        <family val="2"/>
        <scheme val="minor"/>
      </rPr>
      <t>, a</t>
    </r>
  </si>
  <si>
    <r>
      <t>CANNED OR DRIED MEATS</t>
    </r>
    <r>
      <rPr>
        <b/>
        <vertAlign val="superscript"/>
        <sz val="12"/>
        <color theme="1"/>
        <rFont val="Calibri (Body)"/>
      </rPr>
      <t>2</t>
    </r>
    <r>
      <rPr>
        <b/>
        <vertAlign val="superscript"/>
        <sz val="12"/>
        <color theme="1"/>
        <rFont val="Calibri"/>
        <family val="2"/>
        <scheme val="minor"/>
      </rPr>
      <t>, a</t>
    </r>
  </si>
  <si>
    <r>
      <t>FATS &amp; OILS</t>
    </r>
    <r>
      <rPr>
        <b/>
        <vertAlign val="superscript"/>
        <sz val="12"/>
        <color theme="1"/>
        <rFont val="Calibri (Body)"/>
      </rPr>
      <t>3, b</t>
    </r>
  </si>
  <si>
    <r>
      <t>BEANS &amp; LEGUMES</t>
    </r>
    <r>
      <rPr>
        <b/>
        <vertAlign val="superscript"/>
        <sz val="12"/>
        <color theme="1"/>
        <rFont val="Calibri (Body)"/>
      </rPr>
      <t>4, a</t>
    </r>
  </si>
  <si>
    <r>
      <t>MILK &amp; DAIRY</t>
    </r>
    <r>
      <rPr>
        <b/>
        <vertAlign val="superscript"/>
        <sz val="12"/>
        <color theme="1"/>
        <rFont val="Calibri (Body)"/>
      </rPr>
      <t>a</t>
    </r>
  </si>
  <si>
    <r>
      <t>COOKING ESSENTIALS</t>
    </r>
    <r>
      <rPr>
        <b/>
        <vertAlign val="superscript"/>
        <sz val="12"/>
        <color theme="1"/>
        <rFont val="Calibri"/>
        <family val="2"/>
        <scheme val="minor"/>
      </rPr>
      <t>a</t>
    </r>
    <r>
      <rPr>
        <b/>
        <vertAlign val="superscript"/>
        <sz val="12"/>
        <color theme="1"/>
        <rFont val="Calibri (Body)"/>
      </rPr>
      <t>,b</t>
    </r>
  </si>
  <si>
    <r>
      <t>FRUITS &amp; VEGATABLES</t>
    </r>
    <r>
      <rPr>
        <b/>
        <vertAlign val="superscript"/>
        <sz val="12"/>
        <color theme="1"/>
        <rFont val="Calibri"/>
        <family val="2"/>
        <scheme val="minor"/>
      </rPr>
      <t>6,a</t>
    </r>
  </si>
  <si>
    <r>
      <rPr>
        <vertAlign val="superscript"/>
        <sz val="12"/>
        <color theme="1"/>
        <rFont val="Calibri (Body)"/>
      </rPr>
      <t xml:space="preserve">a </t>
    </r>
    <r>
      <rPr>
        <sz val="12"/>
        <color theme="1"/>
        <rFont val="Calibri"/>
        <family val="2"/>
        <scheme val="minor"/>
      </rPr>
      <t>Long-term (20-25 year storage)</t>
    </r>
  </si>
  <si>
    <r>
      <rPr>
        <vertAlign val="superscript"/>
        <sz val="12"/>
        <color theme="1"/>
        <rFont val="Calibri (Body)"/>
      </rPr>
      <t>b</t>
    </r>
    <r>
      <rPr>
        <sz val="12"/>
        <color theme="1"/>
        <rFont val="Calibri"/>
        <family val="2"/>
        <scheme val="minor"/>
      </rPr>
      <t xml:space="preserve"> Short-term (1-2 year storage) but required to perpare and preserve long-term and organic food ingrediants</t>
    </r>
  </si>
  <si>
    <r>
      <t>Milking Goats</t>
    </r>
    <r>
      <rPr>
        <vertAlign val="superscript"/>
        <sz val="12"/>
        <color theme="1"/>
        <rFont val="Calibri (Body)"/>
      </rPr>
      <t>1</t>
    </r>
  </si>
  <si>
    <r>
      <rPr>
        <vertAlign val="superscript"/>
        <sz val="12"/>
        <color theme="1"/>
        <rFont val="Calibri (Body)"/>
      </rPr>
      <t>1</t>
    </r>
    <r>
      <rPr>
        <sz val="12"/>
        <color theme="1"/>
        <rFont val="Calibri"/>
        <family val="2"/>
        <scheme val="minor"/>
      </rPr>
      <t xml:space="preserve"> Goats available for milking 10 months out of 12; Avg 2 liters/Yr with 2 Kids/liter; Plus 2 rams</t>
    </r>
  </si>
  <si>
    <r>
      <t>Goat - Adult</t>
    </r>
    <r>
      <rPr>
        <vertAlign val="superscript"/>
        <sz val="12"/>
        <color rgb="FF000000"/>
        <rFont val="Calibri (Body)"/>
      </rPr>
      <t>1</t>
    </r>
  </si>
  <si>
    <t>Food Storage</t>
  </si>
  <si>
    <t>https://heybigsplendor.com/how-much-space-do-you-need-to-store-food/</t>
  </si>
  <si>
    <t>P</t>
  </si>
  <si>
    <r>
      <rPr>
        <b/>
        <sz val="12"/>
        <color theme="1"/>
        <rFont val="Calibri"/>
        <family val="2"/>
        <scheme val="minor"/>
      </rPr>
      <t>Female</t>
    </r>
    <r>
      <rPr>
        <sz val="12"/>
        <color theme="1"/>
        <rFont val="Calibri"/>
        <family val="2"/>
        <scheme val="minor"/>
      </rPr>
      <t xml:space="preserve"> daily calorie requirment aggregated for age and mix of year round activity levels</t>
    </r>
  </si>
  <si>
    <r>
      <rPr>
        <b/>
        <sz val="12"/>
        <color theme="1"/>
        <rFont val="Calibri"/>
        <family val="2"/>
        <scheme val="minor"/>
      </rPr>
      <t>Male</t>
    </r>
    <r>
      <rPr>
        <sz val="12"/>
        <color theme="1"/>
        <rFont val="Calibri"/>
        <family val="2"/>
        <scheme val="minor"/>
      </rPr>
      <t xml:space="preserve"> daily calorie requirment aggregated for age and mix of year round activity levels</t>
    </r>
  </si>
  <si>
    <r>
      <rPr>
        <vertAlign val="superscript"/>
        <sz val="12"/>
        <color theme="1"/>
        <rFont val="Calibri (Body)"/>
      </rPr>
      <t>2</t>
    </r>
    <r>
      <rPr>
        <sz val="12"/>
        <color theme="1"/>
        <rFont val="Calibri"/>
        <family val="2"/>
        <scheme val="minor"/>
      </rPr>
      <t xml:space="preserve"> Mix of 1/2 active, 1/4 Moderate &amp; 1/4 Sedentary</t>
    </r>
  </si>
  <si>
    <r>
      <t>Calorie Requirements Planning Factors</t>
    </r>
    <r>
      <rPr>
        <b/>
        <vertAlign val="superscript"/>
        <sz val="14"/>
        <color theme="1"/>
        <rFont val="Calibri (Body)"/>
      </rPr>
      <t>1,2</t>
    </r>
  </si>
  <si>
    <r>
      <rPr>
        <vertAlign val="superscript"/>
        <sz val="12"/>
        <color theme="1"/>
        <rFont val="Calibri (Body)"/>
      </rPr>
      <t>1</t>
    </r>
    <r>
      <rPr>
        <sz val="12"/>
        <color theme="1"/>
        <rFont val="Calibri"/>
        <family val="2"/>
        <scheme val="minor"/>
      </rPr>
      <t xml:space="preserve"> Required to ensure limited steady-state weight or muscle mass loss</t>
    </r>
  </si>
  <si>
    <t>First year food stroage supply requires a mix of long term and short term foods. Short term foods will require 100% organic replacement after first 1-2 years</t>
  </si>
  <si>
    <t>Slaughter Gross Size/Wt (lbs)</t>
  </si>
  <si>
    <t>% Cattle Calorie Gain/Loss</t>
  </si>
  <si>
    <t>Instructions</t>
  </si>
  <si>
    <r>
      <t>Sources of Calories Percentages for Year 1:</t>
    </r>
    <r>
      <rPr>
        <b/>
        <vertAlign val="superscript"/>
        <sz val="12"/>
        <color theme="1"/>
        <rFont val="Calibri (Body)"/>
      </rPr>
      <t>1</t>
    </r>
  </si>
  <si>
    <r>
      <rPr>
        <vertAlign val="superscript"/>
        <sz val="12"/>
        <color theme="1"/>
        <rFont val="Calibri (Body)"/>
      </rPr>
      <t>1</t>
    </r>
    <r>
      <rPr>
        <sz val="12"/>
        <color theme="1"/>
        <rFont val="Calibri"/>
        <family val="2"/>
        <scheme val="minor"/>
      </rPr>
      <t xml:space="preserve"> </t>
    </r>
    <r>
      <rPr>
        <sz val="12"/>
        <color rgb="FFFF0000"/>
        <rFont val="Calibri (Body)"/>
      </rPr>
      <t>All other cells in this workbook are locked</t>
    </r>
  </si>
  <si>
    <r>
      <rPr>
        <vertAlign val="superscript"/>
        <sz val="12"/>
        <color theme="1"/>
        <rFont val="Calibri (Body)"/>
      </rPr>
      <t>1</t>
    </r>
    <r>
      <rPr>
        <sz val="12"/>
        <color theme="1"/>
        <rFont val="Calibri"/>
        <family val="2"/>
        <scheme val="minor"/>
      </rPr>
      <t xml:space="preserve"> Food source percentages are limited to 1 month increments</t>
    </r>
  </si>
  <si>
    <r>
      <t>Goat - meat (Kids)</t>
    </r>
    <r>
      <rPr>
        <vertAlign val="superscript"/>
        <sz val="12"/>
        <color rgb="FF000000"/>
        <rFont val="Calibri (Body)"/>
      </rPr>
      <t>2</t>
    </r>
  </si>
  <si>
    <r>
      <rPr>
        <vertAlign val="superscript"/>
        <sz val="12"/>
        <color theme="1"/>
        <rFont val="Calibri (Body)"/>
      </rPr>
      <t>2</t>
    </r>
    <r>
      <rPr>
        <sz val="12"/>
        <color theme="1"/>
        <rFont val="Calibri"/>
        <family val="2"/>
        <scheme val="minor"/>
      </rPr>
      <t xml:space="preserve"> Calculated based on number of milking goats in Dairy section</t>
    </r>
  </si>
  <si>
    <t>Step 4</t>
  </si>
  <si>
    <t>Calorie Consumption Planning Factors</t>
  </si>
  <si>
    <t>Per Person Calorie Source Distribution &amp; Cost Planning Factors</t>
  </si>
  <si>
    <r>
      <t>Cost for Calories Required</t>
    </r>
    <r>
      <rPr>
        <vertAlign val="superscript"/>
        <sz val="12"/>
        <color theme="1"/>
        <rFont val="Calibri (Body)"/>
      </rPr>
      <t>1</t>
    </r>
  </si>
  <si>
    <r>
      <rPr>
        <b/>
        <sz val="12"/>
        <color theme="1"/>
        <rFont val="Calibri"/>
        <family val="2"/>
        <scheme val="minor"/>
      </rPr>
      <t>Source 1</t>
    </r>
    <r>
      <rPr>
        <sz val="12"/>
        <color theme="1"/>
        <rFont val="Calibri"/>
        <family val="2"/>
        <scheme val="minor"/>
      </rPr>
      <t>: Year 1 calories available -- on hand &amp; ready to eat (freeze dried + hot water)</t>
    </r>
  </si>
  <si>
    <r>
      <rPr>
        <b/>
        <sz val="12"/>
        <color theme="1"/>
        <rFont val="Calibri"/>
        <family val="2"/>
        <scheme val="minor"/>
      </rPr>
      <t>Source 2</t>
    </r>
    <r>
      <rPr>
        <sz val="12"/>
        <color theme="1"/>
        <rFont val="Calibri"/>
        <family val="2"/>
        <scheme val="minor"/>
      </rPr>
      <t>: Year 1 calories available -- on-hand ingrediants requiring preperation &amp; cooking</t>
    </r>
  </si>
  <si>
    <r>
      <rPr>
        <b/>
        <sz val="12"/>
        <color theme="1"/>
        <rFont val="Calibri"/>
        <family val="2"/>
        <scheme val="minor"/>
      </rPr>
      <t>Source 3</t>
    </r>
    <r>
      <rPr>
        <sz val="12"/>
        <color theme="1"/>
        <rFont val="Calibri"/>
        <family val="2"/>
        <scheme val="minor"/>
      </rPr>
      <t>: Year 1 calories available -- I</t>
    </r>
    <r>
      <rPr>
        <sz val="12"/>
        <color theme="1"/>
        <rFont val="Calibri (Body)"/>
      </rPr>
      <t>ngrediants obtained organically (requires farming, animal husbandry, hunting, trapping, scavange, barter, preservation, preperation and cooking</t>
    </r>
    <r>
      <rPr>
        <sz val="12"/>
        <color theme="1"/>
        <rFont val="Calibri"/>
        <family val="2"/>
        <scheme val="minor"/>
      </rPr>
      <t>)</t>
    </r>
  </si>
  <si>
    <r>
      <t>Minimum required ingrediants and cooking supply amounts per person</t>
    </r>
    <r>
      <rPr>
        <vertAlign val="superscript"/>
        <sz val="20"/>
        <color theme="1"/>
        <rFont val="Calibri (Body)"/>
      </rPr>
      <t>1</t>
    </r>
    <r>
      <rPr>
        <sz val="20"/>
        <color theme="1"/>
        <rFont val="Calibri"/>
        <family val="2"/>
        <scheme val="minor"/>
      </rPr>
      <t xml:space="preserve"> for six months (~437,500 calories) and for the total ranch membership for six months</t>
    </r>
  </si>
  <si>
    <r>
      <rPr>
        <vertAlign val="superscript"/>
        <sz val="11"/>
        <color theme="1"/>
        <rFont val="Calibri (Body)"/>
      </rPr>
      <t>1</t>
    </r>
    <r>
      <rPr>
        <sz val="11"/>
        <color theme="1"/>
        <rFont val="Calibri (Body)"/>
      </rPr>
      <t xml:space="preserve"> Based on blended Male/Female avg calorie requirement as most food storage calculators don’t' calculate by male/female</t>
    </r>
  </si>
  <si>
    <t>Per Men - Avg Calories/day (year-round avg)</t>
  </si>
  <si>
    <t>Per Woman - Avg Calories/day (year-round avg)</t>
  </si>
  <si>
    <r>
      <rPr>
        <vertAlign val="superscript"/>
        <sz val="12"/>
        <color theme="1"/>
        <rFont val="Calibri (Body)"/>
      </rPr>
      <t>1</t>
    </r>
    <r>
      <rPr>
        <sz val="12"/>
        <color theme="1"/>
        <rFont val="Calibri"/>
        <family val="2"/>
        <scheme val="minor"/>
      </rPr>
      <t xml:space="preserve"> </t>
    </r>
    <r>
      <rPr>
        <sz val="12"/>
        <color rgb="FFFF0000"/>
        <rFont val="Calibri (Body)"/>
      </rPr>
      <t>All cells in this worksheet are locked</t>
    </r>
  </si>
  <si>
    <r>
      <t xml:space="preserve">2. Throughout this planner calculated data and information are in cells highlighted in </t>
    </r>
    <r>
      <rPr>
        <b/>
        <sz val="14"/>
        <color rgb="FF00B050"/>
        <rFont val="Calibri (Body)"/>
      </rPr>
      <t>GREEN</t>
    </r>
    <r>
      <rPr>
        <b/>
        <vertAlign val="superscript"/>
        <sz val="14"/>
        <color theme="1"/>
        <rFont val="Calibri (Body)"/>
      </rPr>
      <t>1</t>
    </r>
  </si>
  <si>
    <r>
      <t>Cost per day for Calories Required</t>
    </r>
    <r>
      <rPr>
        <vertAlign val="superscript"/>
        <sz val="12"/>
        <color theme="1"/>
        <rFont val="Calibri (Body)"/>
      </rPr>
      <t>1</t>
    </r>
  </si>
  <si>
    <r>
      <rPr>
        <vertAlign val="superscript"/>
        <sz val="12"/>
        <color theme="1"/>
        <rFont val="Calibri (Body)"/>
      </rPr>
      <t>1</t>
    </r>
    <r>
      <rPr>
        <sz val="12"/>
        <color theme="1"/>
        <rFont val="Calibri"/>
        <family val="2"/>
        <scheme val="minor"/>
      </rPr>
      <t xml:space="preserve"> Based on lowest ($/calorie) Freeze Dried Food option as of Mar 2020</t>
    </r>
  </si>
  <si>
    <t>One Person for 1 Month</t>
  </si>
  <si>
    <r>
      <t>Minimum required ingrediants and cooking supply amounts per person</t>
    </r>
    <r>
      <rPr>
        <vertAlign val="superscript"/>
        <sz val="20"/>
        <color theme="1"/>
        <rFont val="Calibri (Body)"/>
      </rPr>
      <t>1</t>
    </r>
    <r>
      <rPr>
        <sz val="20"/>
        <color theme="1"/>
        <rFont val="Calibri"/>
        <family val="2"/>
        <scheme val="minor"/>
      </rPr>
      <t xml:space="preserve"> for one month (~73,292 calories) and for the total ranch membership for one month</t>
    </r>
  </si>
  <si>
    <t>https://mypatriotsupply.com/collections/long-term-food-storage/products/1-year-emergency-food-supply-2-000-calories-day (as of Mar 2022)</t>
  </si>
  <si>
    <t>Input the Following Dynamic Planning Variables &amp; Requirements</t>
  </si>
  <si>
    <t>One Person for 6 Month</t>
  </si>
  <si>
    <t>Calories, Cost &amp; Quantity for Food Sources 1</t>
  </si>
  <si>
    <r>
      <t>1. The following dynamically calculated outputs for</t>
    </r>
    <r>
      <rPr>
        <b/>
        <sz val="14"/>
        <color rgb="FFFF0000"/>
        <rFont val="Calibri (Body)"/>
      </rPr>
      <t xml:space="preserve"> </t>
    </r>
    <r>
      <rPr>
        <b/>
        <sz val="14"/>
        <color theme="4"/>
        <rFont val="Calibri (Body)"/>
      </rPr>
      <t>Food Source 1 (freeze dried ready to eat)</t>
    </r>
    <r>
      <rPr>
        <b/>
        <sz val="14"/>
        <color rgb="FFFF0000"/>
        <rFont val="Calibri (Body)"/>
      </rPr>
      <t xml:space="preserve"> </t>
    </r>
    <r>
      <rPr>
        <b/>
        <sz val="14"/>
        <color theme="1"/>
        <rFont val="Calibri (Body)"/>
      </rPr>
      <t xml:space="preserve"> are</t>
    </r>
    <r>
      <rPr>
        <b/>
        <sz val="14"/>
        <color rgb="FFFF0000"/>
        <rFont val="Calibri (Body)"/>
      </rPr>
      <t xml:space="preserve"> </t>
    </r>
    <r>
      <rPr>
        <b/>
        <sz val="14"/>
        <color theme="1"/>
        <rFont val="Calibri (Body)"/>
      </rPr>
      <t>based on the data from the "</t>
    </r>
    <r>
      <rPr>
        <b/>
        <i/>
        <sz val="14"/>
        <color theme="1"/>
        <rFont val="Calibri (Body)"/>
      </rPr>
      <t>Inputs"</t>
    </r>
    <r>
      <rPr>
        <b/>
        <sz val="14"/>
        <color theme="1"/>
        <rFont val="Calibri (Body)"/>
      </rPr>
      <t xml:space="preserve"> worksheet and the published calorie, nutritional and volumetric storage requirements from the Food Source manufacturer. </t>
    </r>
  </si>
  <si>
    <t>Per Person Calories Requiremnts &amp; Cost For Food Source 1</t>
  </si>
  <si>
    <t>All Members Calorie Requirements &amp; Cost for Food Source 1</t>
  </si>
  <si>
    <t>Calories/Bucket</t>
  </si>
  <si>
    <t>Total Buckets Required</t>
  </si>
  <si>
    <r>
      <t>Cost for Buckets Required</t>
    </r>
    <r>
      <rPr>
        <vertAlign val="superscript"/>
        <sz val="12"/>
        <color theme="1"/>
        <rFont val="Calibri (Body)"/>
      </rPr>
      <t>1</t>
    </r>
  </si>
  <si>
    <r>
      <t>Total Cost for Buckets Required</t>
    </r>
    <r>
      <rPr>
        <vertAlign val="superscript"/>
        <sz val="12"/>
        <color theme="1"/>
        <rFont val="Calibri (Body)"/>
      </rPr>
      <t>1</t>
    </r>
  </si>
  <si>
    <t>$/Bucket</t>
  </si>
  <si>
    <t>$/24 Buckets</t>
  </si>
  <si>
    <t>Per Person Quantity &amp; Storage Requirements for Food Source 1</t>
  </si>
  <si>
    <t>All Members Quantity &amp; Storage Requirements for Food Source 2</t>
  </si>
  <si>
    <r>
      <t>Storage Space Required</t>
    </r>
    <r>
      <rPr>
        <vertAlign val="superscript"/>
        <sz val="12"/>
        <color theme="1"/>
        <rFont val="Calibri (Body)"/>
      </rPr>
      <t>2</t>
    </r>
  </si>
  <si>
    <r>
      <rPr>
        <vertAlign val="superscript"/>
        <sz val="12"/>
        <color theme="1"/>
        <rFont val="Calibri (Body)"/>
      </rPr>
      <t>2</t>
    </r>
    <r>
      <rPr>
        <sz val="12"/>
        <color theme="1"/>
        <rFont val="Calibri"/>
        <family val="2"/>
        <scheme val="minor"/>
      </rPr>
      <t xml:space="preserve"> Storage space based on stacking buckets (12"x12"x 15.25" ea) 6 buckets high </t>
    </r>
  </si>
  <si>
    <t>Sq Ft Req'd for All Buckets Stacked 6 Buckets High</t>
  </si>
  <si>
    <t>Calories, Cost &amp; Quantity for Food Source 2</t>
  </si>
  <si>
    <t>Fortitude Ranch - Food Planner Outputs &amp; Results -  Page 3</t>
  </si>
  <si>
    <t>Fortitude Ranch - Food Planner Outputs &amp; Results - Page 1</t>
  </si>
  <si>
    <t>Fortitude Ranch - Food Planner Outputs &amp; Results - Page 2</t>
  </si>
  <si>
    <r>
      <t>1. The following dynamically calculated outputs for</t>
    </r>
    <r>
      <rPr>
        <b/>
        <sz val="14"/>
        <color rgb="FFFF0000"/>
        <rFont val="Calibri (Body)"/>
      </rPr>
      <t xml:space="preserve"> </t>
    </r>
    <r>
      <rPr>
        <b/>
        <sz val="14"/>
        <color theme="4"/>
        <rFont val="Calibri (Body)"/>
      </rPr>
      <t>Food Source 2 (required on-hand ingrediants, preperation and cooking supply) amounts</t>
    </r>
    <r>
      <rPr>
        <b/>
        <sz val="14"/>
        <color rgb="FFFF0000"/>
        <rFont val="Calibri (Body)"/>
      </rPr>
      <t xml:space="preserve"> </t>
    </r>
    <r>
      <rPr>
        <b/>
        <sz val="14"/>
        <color theme="1"/>
        <rFont val="Calibri (Body)"/>
      </rPr>
      <t xml:space="preserve"> are</t>
    </r>
    <r>
      <rPr>
        <b/>
        <sz val="14"/>
        <color rgb="FFFF0000"/>
        <rFont val="Calibri (Body)"/>
      </rPr>
      <t xml:space="preserve"> </t>
    </r>
    <r>
      <rPr>
        <b/>
        <sz val="14"/>
        <color theme="1"/>
        <rFont val="Calibri (Body)"/>
      </rPr>
      <t>based on the data from the "</t>
    </r>
    <r>
      <rPr>
        <b/>
        <i/>
        <sz val="14"/>
        <color theme="1"/>
        <rFont val="Calibri (Body)"/>
      </rPr>
      <t>Inputs"</t>
    </r>
    <r>
      <rPr>
        <b/>
        <sz val="14"/>
        <color theme="1"/>
        <rFont val="Calibri (Body)"/>
      </rPr>
      <t xml:space="preserve"> worksheet,  published calorie &amp; nutritional content, and food storage calculators</t>
    </r>
    <r>
      <rPr>
        <b/>
        <vertAlign val="superscript"/>
        <sz val="14"/>
        <color theme="1"/>
        <rFont val="Calibri (Body)"/>
      </rPr>
      <t>1</t>
    </r>
    <r>
      <rPr>
        <b/>
        <sz val="14"/>
        <color theme="1"/>
        <rFont val="Calibri (Body)"/>
      </rPr>
      <t>.</t>
    </r>
  </si>
  <si>
    <r>
      <rPr>
        <vertAlign val="superscript"/>
        <sz val="11"/>
        <color rgb="FFFF0000"/>
        <rFont val="Calibri (Body)"/>
      </rPr>
      <t xml:space="preserve">2 </t>
    </r>
    <r>
      <rPr>
        <sz val="11"/>
        <color rgb="FFFF0000"/>
        <rFont val="Calibri (Body)"/>
      </rPr>
      <t>All cells in this worksheet are locked</t>
    </r>
  </si>
  <si>
    <t>5 Gal Buckets</t>
  </si>
  <si>
    <t>Gal Containers</t>
  </si>
  <si>
    <t>Total #</t>
  </si>
  <si>
    <t>Vol (Qts)</t>
  </si>
  <si>
    <r>
      <rPr>
        <vertAlign val="superscript"/>
        <sz val="12"/>
        <color theme="1"/>
        <rFont val="Calibri (Body)"/>
      </rPr>
      <t xml:space="preserve">2 </t>
    </r>
    <r>
      <rPr>
        <sz val="12"/>
        <color theme="1"/>
        <rFont val="Calibri"/>
        <family val="2"/>
        <scheme val="minor"/>
      </rPr>
      <t>Storage space based on stacking No 10 Cans (6.2"x6.2"x7" ea) 10 cans high</t>
    </r>
  </si>
  <si>
    <t>No 10 Containers</t>
  </si>
  <si>
    <r>
      <rPr>
        <vertAlign val="superscript"/>
        <sz val="12"/>
        <color theme="1"/>
        <rFont val="Calibri (Body)"/>
      </rPr>
      <t>3</t>
    </r>
    <r>
      <rPr>
        <sz val="12"/>
        <color theme="1"/>
        <rFont val="Calibri"/>
        <family val="2"/>
        <scheme val="minor"/>
      </rPr>
      <t xml:space="preserve"> Storage space based on stacking 1 Gal food cans (6.6"x6.6"x7.7" ea) 10 cans high</t>
    </r>
  </si>
  <si>
    <t>Gallon food can</t>
  </si>
  <si>
    <t>No 10 can</t>
  </si>
  <si>
    <t>Dimensions</t>
  </si>
  <si>
    <t>6.2"x 6.2"x 7"</t>
  </si>
  <si>
    <t>6.6"x6.6"x7.7"</t>
  </si>
  <si>
    <t>Total Dairy</t>
  </si>
  <si>
    <r>
      <t>Total Cooking Essentials</t>
    </r>
    <r>
      <rPr>
        <b/>
        <vertAlign val="superscript"/>
        <sz val="12"/>
        <color theme="1"/>
        <rFont val="Calibri"/>
        <family val="2"/>
        <scheme val="minor"/>
      </rPr>
      <t>a</t>
    </r>
    <r>
      <rPr>
        <b/>
        <vertAlign val="superscript"/>
        <sz val="12"/>
        <color theme="1"/>
        <rFont val="Calibri (Body)"/>
      </rPr>
      <t>,b</t>
    </r>
  </si>
  <si>
    <t>Total Fruits &amp; Vegtables</t>
  </si>
  <si>
    <t>Storage Space Required for Stored Ingrediants - All Members</t>
  </si>
  <si>
    <t>Open shelf storage</t>
  </si>
  <si>
    <r>
      <rPr>
        <vertAlign val="superscript"/>
        <sz val="12"/>
        <color theme="1"/>
        <rFont val="Calibri (Body)"/>
      </rPr>
      <t>1</t>
    </r>
    <r>
      <rPr>
        <sz val="12"/>
        <color theme="1"/>
        <rFont val="Calibri"/>
        <family val="2"/>
        <scheme val="minor"/>
      </rPr>
      <t xml:space="preserve"> Storage space based on stacking 5 Gal buckets (12"x12"x15.25" ea) 6 buckets high</t>
    </r>
  </si>
  <si>
    <t># buckets / Sq Ft for storage (stacked 6 high)</t>
  </si>
  <si>
    <t>Bucket &amp; Can Specs</t>
  </si>
  <si>
    <t>5 Gal bucket</t>
  </si>
  <si>
    <t xml:space="preserve"> 12"x12"x15.25"</t>
  </si>
  <si>
    <t># / Sq Ft for storage stacked number</t>
  </si>
  <si>
    <t>Number of cans stacked vertically</t>
  </si>
  <si>
    <t>Total Sq Ft Strorage Req'd</t>
  </si>
  <si>
    <r>
      <rPr>
        <vertAlign val="superscript"/>
        <sz val="12"/>
        <color theme="1"/>
        <rFont val="Calibri (Body)"/>
      </rPr>
      <t xml:space="preserve">4. </t>
    </r>
    <r>
      <rPr>
        <sz val="12"/>
        <color theme="1"/>
        <rFont val="Calibri"/>
        <family val="2"/>
        <scheme val="minor"/>
      </rPr>
      <t>Bulk Storage Space estimate for jars, bags, cans etc = space req'd for Gal storage</t>
    </r>
  </si>
  <si>
    <t>Fortitude Ranch - Food Planner Outputs &amp; Results - Page 4</t>
  </si>
  <si>
    <t>Calories &amp; Quantity for Food Source 3</t>
  </si>
  <si>
    <t>2. This worksheet dynamically calculates calories requirments, calorie production, farming requirements, animal fodder requirements, etc. based on the dynamic planning variables outlined below and published food science and agriculture nutritional data, animal feed requirements, yield/ harvest data, and volumetric storage calculations..</t>
  </si>
  <si>
    <r>
      <rPr>
        <b/>
        <vertAlign val="superscript"/>
        <sz val="12"/>
        <color rgb="FFFF0000"/>
        <rFont val="Calibri (Body)"/>
      </rPr>
      <t>1</t>
    </r>
    <r>
      <rPr>
        <b/>
        <sz val="12"/>
        <color rgb="FFFF0000"/>
        <rFont val="Calibri (Body)"/>
      </rPr>
      <t xml:space="preserve"> All cells in this worksheet are locked</t>
    </r>
  </si>
  <si>
    <t>Non-Organic Essential Cooking Ingrediants Required each Year for Years 2-X</t>
  </si>
  <si>
    <t>Fortitude Ranch - Food Planner Outputs &amp; Results - Page 5</t>
  </si>
  <si>
    <t>Food Preservation Requirements</t>
  </si>
  <si>
    <t>1. The following worksheet dynamically calculated outputs for Food Source 3 (organic ingrediants sources (requires farming, animal husbandry, hunting, trapping, scavange, barter, preservation, preperation and cooking PLUS short-term cooking sugars &amp; essential ingrediants).</t>
  </si>
  <si>
    <t># of 1200 lb Hay Bales Req's</t>
  </si>
  <si>
    <t>Acres Req'd under cultivation</t>
  </si>
  <si>
    <t>~ Buffer from grain</t>
  </si>
  <si>
    <t>&lt;------------------</t>
  </si>
  <si>
    <r>
      <rPr>
        <vertAlign val="superscript"/>
        <sz val="12"/>
        <color theme="1"/>
        <rFont val="Calibri (Body)"/>
      </rPr>
      <t>5</t>
    </r>
    <r>
      <rPr>
        <sz val="12"/>
        <color theme="1"/>
        <rFont val="Calibri (Body)"/>
      </rPr>
      <t xml:space="preserve"> Regardless of starting weight, i</t>
    </r>
    <r>
      <rPr>
        <sz val="12"/>
        <color theme="1"/>
        <rFont val="Calibri"/>
        <family val="2"/>
        <scheme val="minor"/>
      </rPr>
      <t>f cattle feeding is required then fodder req'd (2% of body wt/day) assumes desired cattle weight gain will avg 400lbs @1.5lbs gained/day and requires 276 days of fodder</t>
    </r>
  </si>
  <si>
    <r>
      <rPr>
        <vertAlign val="superscript"/>
        <sz val="12"/>
        <color theme="1"/>
        <rFont val="Calibri (Body)"/>
      </rPr>
      <t>2</t>
    </r>
    <r>
      <rPr>
        <sz val="12"/>
        <color theme="1"/>
        <rFont val="Calibri"/>
        <family val="2"/>
        <scheme val="minor"/>
      </rPr>
      <t xml:space="preserve"> To get an 8ea meat rabbit litter to 5lb slaughter wt requries ~150lbs of pellet feed (for 8 fryer litter + 1 ea doe/buck) and 10-12 weeks. Without pellets (grass and hay only) it takes 24-32 weeks to get to 5 lbs </t>
    </r>
  </si>
  <si>
    <t>% of Total Calories for Year 1</t>
  </si>
  <si>
    <t>Grains (people, animals, replant seed)</t>
  </si>
  <si>
    <t>Calories in a single MRE</t>
  </si>
  <si>
    <t>MRE Cost/Case</t>
  </si>
  <si>
    <t>MREs Per Person Day</t>
  </si>
  <si>
    <t>MREs Per Person Month</t>
  </si>
  <si>
    <t>MREs Per Person per Year</t>
  </si>
  <si>
    <t># of MRE Cases per Person per year</t>
  </si>
  <si>
    <t>Total Cost Per Person per year</t>
  </si>
  <si>
    <t>MRE's For All persons for a Year</t>
  </si>
  <si>
    <t># of MREs/Case</t>
  </si>
  <si>
    <t># of CONEX Required</t>
  </si>
  <si>
    <t># of MRE Cases for All persons per year</t>
  </si>
  <si>
    <t># Rows in Cubed in out 40' (8'x8'x40") Conex with 54 cases (6Wx9T) per row</t>
  </si>
  <si>
    <t># Cases per 40' CONEX (48 Rows)</t>
  </si>
  <si>
    <t>MRE Cost Ea</t>
  </si>
  <si>
    <t>Total Cost All Persons per year</t>
  </si>
  <si>
    <t>Total Cost Per Person per day</t>
  </si>
  <si>
    <t>Total Cost All Persons per day</t>
  </si>
  <si>
    <t>Total Cost Per Day Per Person = 75% of Freeze Dried Food Cost</t>
  </si>
  <si>
    <t>Total Per Day All Persons</t>
  </si>
  <si>
    <t>Total Per Month All Persons</t>
  </si>
  <si>
    <t>Total Per 6 Months All Persons</t>
  </si>
  <si>
    <t>Total Per Year All Persons</t>
  </si>
  <si>
    <r>
      <rPr>
        <b/>
        <sz val="12"/>
        <color theme="1"/>
        <rFont val="Calibri"/>
        <family val="2"/>
        <scheme val="minor"/>
      </rPr>
      <t>Source 2</t>
    </r>
    <r>
      <rPr>
        <sz val="12"/>
        <color theme="1"/>
        <rFont val="Calibri"/>
        <family val="2"/>
        <scheme val="minor"/>
      </rPr>
      <t>: Year 1 calories available -- on-hand ingredients requiring preperation &amp; cooking</t>
    </r>
  </si>
  <si>
    <r>
      <rPr>
        <b/>
        <sz val="12"/>
        <color theme="1"/>
        <rFont val="Calibri"/>
        <family val="2"/>
        <scheme val="minor"/>
      </rPr>
      <t>Source 3</t>
    </r>
    <r>
      <rPr>
        <sz val="12"/>
        <color theme="1"/>
        <rFont val="Calibri"/>
        <family val="2"/>
        <scheme val="minor"/>
      </rPr>
      <t>: Year 1 calories available -- I</t>
    </r>
    <r>
      <rPr>
        <sz val="12"/>
        <color theme="1"/>
        <rFont val="Calibri (Body)"/>
      </rPr>
      <t>ngredients obtained organically (requires farming, animal husbandry, hunting, trapping, scavange, barter, preservation, preperation and cooking</t>
    </r>
    <r>
      <rPr>
        <sz val="12"/>
        <color theme="1"/>
        <rFont val="Calibri"/>
        <family val="2"/>
        <scheme val="minor"/>
      </rPr>
      <t>)</t>
    </r>
  </si>
  <si>
    <r>
      <rPr>
        <vertAlign val="superscript"/>
        <sz val="12"/>
        <color theme="1"/>
        <rFont val="Calibri (Body)"/>
      </rPr>
      <t>2</t>
    </r>
    <r>
      <rPr>
        <sz val="12"/>
        <color theme="1"/>
        <rFont val="Calibri"/>
        <family val="2"/>
        <scheme val="minor"/>
      </rPr>
      <t xml:space="preserve"> Based on Estimate of on-hand ingredients costing 70% of freeze dried food cost</t>
    </r>
  </si>
  <si>
    <r>
      <t>Cost for Total Calories Required</t>
    </r>
    <r>
      <rPr>
        <vertAlign val="superscript"/>
        <sz val="12"/>
        <color theme="1"/>
        <rFont val="Calibri (Body)"/>
      </rPr>
      <t>1</t>
    </r>
  </si>
  <si>
    <r>
      <rPr>
        <vertAlign val="superscript"/>
        <sz val="12"/>
        <color theme="1"/>
        <rFont val="Calibri (Body)"/>
      </rPr>
      <t>1</t>
    </r>
    <r>
      <rPr>
        <sz val="12"/>
        <color theme="1"/>
        <rFont val="Calibri"/>
        <family val="2"/>
        <scheme val="minor"/>
      </rPr>
      <t xml:space="preserve"> Based on lowest ($/calorie) Freeze Dried Food option as of Mar 2022</t>
    </r>
  </si>
  <si>
    <r>
      <rPr>
        <vertAlign val="superscript"/>
        <sz val="12"/>
        <color theme="1"/>
        <rFont val="Calibri (Body)"/>
      </rPr>
      <t>1</t>
    </r>
    <r>
      <rPr>
        <sz val="12"/>
        <color theme="1"/>
        <rFont val="Calibri"/>
        <family val="2"/>
        <scheme val="minor"/>
      </rPr>
      <t xml:space="preserve"> Based on lowest Freeze Dried Food option  as of Mar 2022</t>
    </r>
  </si>
  <si>
    <r>
      <t>Cost for Calories Required</t>
    </r>
    <r>
      <rPr>
        <vertAlign val="superscript"/>
        <sz val="12"/>
        <color theme="1"/>
        <rFont val="Calibri (Body)"/>
      </rPr>
      <t>1,2</t>
    </r>
  </si>
  <si>
    <r>
      <t>Cost per day for Calories Required</t>
    </r>
    <r>
      <rPr>
        <vertAlign val="superscript"/>
        <sz val="12"/>
        <color theme="1"/>
        <rFont val="Calibri (Body)"/>
      </rPr>
      <t>1,2</t>
    </r>
  </si>
  <si>
    <r>
      <t>Total Cost for Calories Required</t>
    </r>
    <r>
      <rPr>
        <vertAlign val="superscript"/>
        <sz val="12"/>
        <color theme="1"/>
        <rFont val="Calibri (Body)"/>
      </rPr>
      <t>1,2</t>
    </r>
  </si>
  <si>
    <t>Calorie Consumption &amp; Calories Distribution for Food Sources 1-3</t>
  </si>
  <si>
    <r>
      <rPr>
        <vertAlign val="superscript"/>
        <sz val="12"/>
        <color rgb="FFFF0000"/>
        <rFont val="Calibri (Body)"/>
      </rPr>
      <t xml:space="preserve">1 </t>
    </r>
    <r>
      <rPr>
        <sz val="12"/>
        <color rgb="FFFF0000"/>
        <rFont val="Calibri (Body)"/>
      </rPr>
      <t>All cells in this worksheet are locked</t>
    </r>
  </si>
  <si>
    <r>
      <t xml:space="preserve">2. Throughout this planner calculated data and information are in cells highlighted in </t>
    </r>
    <r>
      <rPr>
        <b/>
        <sz val="14"/>
        <color rgb="FF00B050"/>
        <rFont val="Calibri (Body)"/>
      </rPr>
      <t>GREEN</t>
    </r>
    <r>
      <rPr>
        <b/>
        <vertAlign val="superscript"/>
        <sz val="14"/>
        <color theme="1"/>
        <rFont val="Calibri (Body)"/>
      </rPr>
      <t>2</t>
    </r>
  </si>
  <si>
    <r>
      <t xml:space="preserve">3. Throughout this planner calculated data and information are in cells highlighted in </t>
    </r>
    <r>
      <rPr>
        <b/>
        <sz val="12"/>
        <color rgb="FF00B050"/>
        <rFont val="Calibri (Body)"/>
      </rPr>
      <t>GREEN</t>
    </r>
    <r>
      <rPr>
        <b/>
        <vertAlign val="superscript"/>
        <sz val="12"/>
        <color theme="1"/>
        <rFont val="Calibri (Body)"/>
      </rPr>
      <t>1</t>
    </r>
  </si>
  <si>
    <t>Calorie Source &amp; Requirement Estimates (this is calories ONLY. It does not factor in other nutritional balance elements like protein, fat, nutrients, vitamins etc) - (Sources: USDA and other official nutrition and agriculture databases)</t>
  </si>
  <si>
    <t>Field tools - Vegtable/Grain (prep, cultivation, planting, harvest)</t>
  </si>
  <si>
    <t>Ability to move and store 1200lb hay bales</t>
  </si>
  <si>
    <t>Key MUST HAVE Capabilities</t>
  </si>
  <si>
    <t>2 large root cellers</t>
  </si>
  <si>
    <t>Ability and location to can/dry food at scale (near water and under cover)</t>
  </si>
  <si>
    <t>Pemmican pans</t>
  </si>
  <si>
    <t>Grain/Vegtable hauling containers</t>
  </si>
  <si>
    <t>Ability to move grain/vegtables from distant fields to compound</t>
  </si>
  <si>
    <t>Definitive compound layout for animal management (protection, feeding, watering, waste mgt, fodder etc)</t>
  </si>
  <si>
    <r>
      <rPr>
        <b/>
        <sz val="12"/>
        <color theme="1"/>
        <rFont val="Calibri"/>
        <family val="2"/>
        <scheme val="minor"/>
      </rPr>
      <t>Source 2</t>
    </r>
    <r>
      <rPr>
        <sz val="12"/>
        <color theme="1"/>
        <rFont val="Calibri"/>
        <family val="2"/>
        <scheme val="minor"/>
      </rPr>
      <t>: Year 1 calories available -- on-hand ingredients requiring preparation &amp; cooking</t>
    </r>
  </si>
  <si>
    <r>
      <rPr>
        <b/>
        <sz val="12"/>
        <color theme="1"/>
        <rFont val="Calibri"/>
        <family val="2"/>
        <scheme val="minor"/>
      </rPr>
      <t>Source 2</t>
    </r>
    <r>
      <rPr>
        <sz val="12"/>
        <color theme="1"/>
        <rFont val="Calibri"/>
        <family val="2"/>
        <scheme val="minor"/>
      </rPr>
      <t>: Year 1 calories available -- on-hand ingrediants requiring preparation &amp; cooking</t>
    </r>
  </si>
  <si>
    <r>
      <rPr>
        <b/>
        <sz val="12"/>
        <color theme="1"/>
        <rFont val="Calibri"/>
        <family val="2"/>
        <scheme val="minor"/>
      </rPr>
      <t>Source 3</t>
    </r>
    <r>
      <rPr>
        <sz val="12"/>
        <color theme="1"/>
        <rFont val="Calibri"/>
        <family val="2"/>
        <scheme val="minor"/>
      </rPr>
      <t>: Year 1 calories available -- I</t>
    </r>
    <r>
      <rPr>
        <sz val="12"/>
        <color theme="1"/>
        <rFont val="Calibri (Body)"/>
      </rPr>
      <t>ngredients obtained organically (requires farming, animal husbandry, hunting, trapping, scavenge, barter, preservation, preparation and cooking</t>
    </r>
    <r>
      <rPr>
        <sz val="12"/>
        <color theme="1"/>
        <rFont val="Calibri"/>
        <family val="2"/>
        <scheme val="minor"/>
      </rPr>
      <t>)</t>
    </r>
  </si>
  <si>
    <t>1. The following worksheet dynamically calculated outputs for Food Source 3 (organically obtained ingrediants (requires farming, animal husbandry, hunting, trapping, scavenge, barter, preservation, preparation and cooking PLUS short-term cooking sugars &amp; essential ingrediants).</t>
  </si>
  <si>
    <t>5 Gal plastic bucket holds 30-32 lbs or ~51,300 calories</t>
  </si>
  <si>
    <t xml:space="preserve"> 5 Gal plastic bucket holds 30-32 lbs or ~54,715 calories</t>
  </si>
  <si>
    <t xml:space="preserve"> 5 Gal plastic bucket holds 30-32 lbs or ~51,181 calories</t>
  </si>
  <si>
    <t xml:space="preserve"> 5 Gal plastic bucket holds 30-32 lbs or ~52,049 calories</t>
  </si>
  <si>
    <t>1 Week in Gal or Lbs</t>
  </si>
  <si>
    <t>Calories per Gal or Lbs</t>
  </si>
  <si>
    <t>1 Week Calories</t>
  </si>
  <si>
    <t>1 Week Calories-Adj</t>
  </si>
  <si>
    <t>Correction modifier - grains</t>
  </si>
  <si>
    <t>Correction modifier - all else</t>
  </si>
  <si>
    <r>
      <t>Sq Ft of Storage Space Required</t>
    </r>
    <r>
      <rPr>
        <b/>
        <vertAlign val="superscript"/>
        <sz val="12"/>
        <color theme="1"/>
        <rFont val="Calibri (Body)"/>
      </rPr>
      <t>1</t>
    </r>
    <r>
      <rPr>
        <b/>
        <vertAlign val="superscript"/>
        <sz val="12"/>
        <color theme="1"/>
        <rFont val="Calibri"/>
        <family val="2"/>
        <scheme val="minor"/>
      </rPr>
      <t>,2,3,4</t>
    </r>
  </si>
  <si>
    <t>Veg oil</t>
  </si>
  <si>
    <t>No 10 Cans</t>
  </si>
  <si>
    <t>Evap Milk</t>
  </si>
  <si>
    <t>Cans in a No10 Can</t>
  </si>
  <si>
    <t>Pounds in No 10 Can</t>
  </si>
  <si>
    <t>Fruit Jam</t>
  </si>
  <si>
    <t>Powered juice mix</t>
  </si>
  <si>
    <t>Dried fruit</t>
  </si>
  <si>
    <t>Sq Ft Per Container</t>
  </si>
  <si>
    <t>Total number of cans stacked vertically per Sq Ft</t>
  </si>
  <si>
    <t>Corn shelled</t>
  </si>
  <si>
    <t># 5 Gal Buckets To Store</t>
  </si>
  <si>
    <r>
      <rPr>
        <vertAlign val="superscript"/>
        <sz val="12"/>
        <color theme="1"/>
        <rFont val="Calibri (Body)"/>
      </rPr>
      <t xml:space="preserve">1 </t>
    </r>
    <r>
      <rPr>
        <sz val="12"/>
        <color theme="1"/>
        <rFont val="Calibri"/>
        <family val="2"/>
        <scheme val="minor"/>
      </rPr>
      <t>Storage space calculations are done in Sq Ft, but the equirement is cubic feet and all are based on a minimnum of an 8' ceiling</t>
    </r>
  </si>
  <si>
    <r>
      <t>Storage Space Requirements</t>
    </r>
    <r>
      <rPr>
        <b/>
        <vertAlign val="superscript"/>
        <sz val="16"/>
        <color theme="1"/>
        <rFont val="Calibri (Body)"/>
      </rPr>
      <t>1</t>
    </r>
  </si>
  <si>
    <t xml:space="preserve">Farm implements </t>
  </si>
  <si>
    <t>Field hand tools</t>
  </si>
  <si>
    <t>Storage</t>
  </si>
  <si>
    <t>Measuring equipment</t>
  </si>
  <si>
    <t>Scales</t>
  </si>
  <si>
    <t>Butchering tools</t>
  </si>
  <si>
    <t>Crop Yield Planning Factors (WV)</t>
  </si>
  <si>
    <t># of 1200 Lb  Round Hay Bales Req'd Per Yr to gain 400 lbs</t>
  </si>
  <si>
    <t>Per Week</t>
  </si>
  <si>
    <t>Freeze-dried Mixed Meats</t>
  </si>
  <si>
    <t>5 gal bucket</t>
  </si>
  <si>
    <t>Freeze-dried black bean burger</t>
  </si>
  <si>
    <t>Freeze-dried Veg Taco-meat</t>
  </si>
  <si>
    <t>#10 Can</t>
  </si>
  <si>
    <t>Cost</t>
  </si>
  <si>
    <t>Miscellaneous</t>
  </si>
  <si>
    <r>
      <rPr>
        <b/>
        <sz val="12"/>
        <color theme="1"/>
        <rFont val="Calibri"/>
        <family val="2"/>
        <scheme val="minor"/>
      </rPr>
      <t>Male</t>
    </r>
    <r>
      <rPr>
        <sz val="12"/>
        <color theme="1"/>
        <rFont val="Calibri"/>
        <family val="2"/>
        <scheme val="minor"/>
      </rPr>
      <t xml:space="preserve"> daily calorie requirement aggregated for age and mix of year round activity levels</t>
    </r>
  </si>
  <si>
    <r>
      <rPr>
        <b/>
        <sz val="12"/>
        <color theme="1"/>
        <rFont val="Calibri"/>
        <family val="2"/>
        <scheme val="minor"/>
      </rPr>
      <t>Female</t>
    </r>
    <r>
      <rPr>
        <sz val="12"/>
        <color theme="1"/>
        <rFont val="Calibri"/>
        <family val="2"/>
        <scheme val="minor"/>
      </rPr>
      <t xml:space="preserve"> daily calorie requirement aggregated for age and mix of year round activity levels</t>
    </r>
  </si>
  <si>
    <t>Volume</t>
  </si>
  <si>
    <t>Fats &amp; Oils</t>
  </si>
  <si>
    <t>Evaporated milk</t>
  </si>
  <si>
    <t>Cooking Essentials</t>
  </si>
  <si>
    <t>Canned Fruits</t>
  </si>
  <si>
    <t>Canned Veggies</t>
  </si>
  <si>
    <t>Lb bag</t>
  </si>
  <si>
    <t>Sugars</t>
  </si>
  <si>
    <t>Fresh Fruit &amp; Vegtables</t>
  </si>
  <si>
    <t>Grains, Beans and Lentils</t>
  </si>
  <si>
    <t>Lima beans</t>
  </si>
  <si>
    <t>Split peas</t>
  </si>
  <si>
    <t>Soy beans</t>
  </si>
  <si>
    <t>Canned/Dried Fruits &amp; Vegtables</t>
  </si>
  <si>
    <t>Powdered Cheese</t>
  </si>
  <si>
    <t>Dry Eggs/Cheese</t>
  </si>
  <si>
    <t>Canned Vegtables</t>
  </si>
  <si>
    <t>Canned  Fruit</t>
  </si>
  <si>
    <t>Canned Meat</t>
  </si>
  <si>
    <t>Pork</t>
  </si>
  <si>
    <t>Beef</t>
  </si>
  <si>
    <t>Per Man (No Canned Meat)</t>
  </si>
  <si>
    <t>Per Woman (No Canned Meat)</t>
  </si>
  <si>
    <t>Per Man (NO Canned Meat)</t>
  </si>
  <si>
    <t>Per Woman (NO Canned Meat)</t>
  </si>
  <si>
    <t>Per Man (+ Canned Meat)</t>
  </si>
  <si>
    <t>Per Woman (+ Canned Meat)</t>
  </si>
  <si>
    <t># Cases</t>
  </si>
  <si>
    <t>Cases</t>
  </si>
  <si>
    <t>Calories Per 12 Can Case</t>
  </si>
  <si>
    <t>Calories Per Lb</t>
  </si>
  <si>
    <t>Totat Canned Meats</t>
  </si>
  <si>
    <t>Pepper</t>
  </si>
  <si>
    <t>Instant Coffee</t>
  </si>
  <si>
    <t>Spices, Coffee, Tea</t>
  </si>
  <si>
    <t>Black pepper</t>
  </si>
  <si>
    <t>Coffee</t>
  </si>
  <si>
    <t>Onion Powder</t>
  </si>
  <si>
    <t>Garlic Powder</t>
  </si>
  <si>
    <t>Servings</t>
  </si>
  <si>
    <t>Onion powder</t>
  </si>
  <si>
    <t>Total Spices, Coffee etc</t>
  </si>
  <si>
    <t>Spices, Coffee, etc</t>
  </si>
  <si>
    <r>
      <t xml:space="preserve">4. Throughout this planner calculated data and results are in cells highlighted in </t>
    </r>
    <r>
      <rPr>
        <b/>
        <sz val="14"/>
        <color rgb="FF00B050"/>
        <rFont val="Calibri (Body)"/>
      </rPr>
      <t>GREEN</t>
    </r>
  </si>
  <si>
    <t>5. Fill in the data for Steps 1-3 below.</t>
  </si>
  <si>
    <t>Fortitude Ranch - Calorie / Food Planner</t>
  </si>
  <si>
    <t>Inputs</t>
  </si>
  <si>
    <t>Grain/Vegtable harvest processing and storage location</t>
  </si>
  <si>
    <t>~600-800 Sq ft (min of 8' tall) of Dry/Cool storage that's organizable (i.e., shelving etc)</t>
  </si>
  <si>
    <t>Ranch Population</t>
  </si>
  <si>
    <r>
      <rPr>
        <b/>
        <sz val="12"/>
        <color theme="1"/>
        <rFont val="Calibri"/>
        <family val="2"/>
        <scheme val="minor"/>
      </rPr>
      <t>Source 2:</t>
    </r>
    <r>
      <rPr>
        <sz val="12"/>
        <color theme="1"/>
        <rFont val="Calibri"/>
        <family val="2"/>
        <scheme val="minor"/>
      </rPr>
      <t xml:space="preserve"> On-hand ingredients requiring preperation &amp; cooking</t>
    </r>
  </si>
  <si>
    <r>
      <rPr>
        <b/>
        <sz val="12"/>
        <color theme="1"/>
        <rFont val="Calibri"/>
        <family val="2"/>
        <scheme val="minor"/>
      </rPr>
      <t>Source 3:</t>
    </r>
    <r>
      <rPr>
        <sz val="12"/>
        <color theme="1"/>
        <rFont val="Calibri"/>
        <family val="2"/>
        <scheme val="minor"/>
      </rPr>
      <t xml:space="preserve"> Ingrediants obtained organically after ranch activation  (requires farming, animal husbandry, hunting, trapping, scavenge, barter, preservation, preperation and cooking)</t>
    </r>
  </si>
  <si>
    <t>Chicken (fryers)</t>
  </si>
  <si>
    <r>
      <t>1. The following dynamically calculated calorie requirements are based on the data from the "</t>
    </r>
    <r>
      <rPr>
        <b/>
        <i/>
        <sz val="14"/>
        <color theme="1"/>
        <rFont val="Calibri (Body)"/>
      </rPr>
      <t>Inputs"</t>
    </r>
    <r>
      <rPr>
        <b/>
        <sz val="14"/>
        <color theme="1"/>
        <rFont val="Calibri (Body)"/>
      </rPr>
      <t xml:space="preserve"> worksheet and published food, nutritional and agriculture nutritional data.</t>
    </r>
  </si>
  <si>
    <t>1. This workbook dynamically calculates calories requirments, calorie production, food storage space requirements, cultavition requirements, animal fodder requirements, etc. based on the dynamic planning variables outlined below and published food science and agriculture nutritional data, animal feed requirements, yield/ harvest data, and volumetric storage calculations.</t>
  </si>
  <si>
    <r>
      <t xml:space="preserve">3. Throughout this planner you can only enter data in cells highlighted in </t>
    </r>
    <r>
      <rPr>
        <b/>
        <sz val="14"/>
        <color theme="4"/>
        <rFont val="Calibri (Body)"/>
      </rPr>
      <t>BLUE</t>
    </r>
    <r>
      <rPr>
        <b/>
        <vertAlign val="superscript"/>
        <sz val="14"/>
        <color theme="1"/>
        <rFont val="Calibri (Body)"/>
      </rPr>
      <t>1</t>
    </r>
  </si>
  <si>
    <t xml:space="preserve">Review Planner Output Worksheets 1-5 </t>
  </si>
  <si>
    <r>
      <t>Total Cost for Calories Required</t>
    </r>
    <r>
      <rPr>
        <vertAlign val="superscript"/>
        <sz val="12"/>
        <color theme="1"/>
        <rFont val="Calibri (Body)"/>
      </rPr>
      <t>1</t>
    </r>
  </si>
  <si>
    <r>
      <rPr>
        <vertAlign val="superscript"/>
        <sz val="12"/>
        <color theme="1"/>
        <rFont val="Calibri (Body)"/>
      </rPr>
      <t xml:space="preserve">1 </t>
    </r>
    <r>
      <rPr>
        <sz val="12"/>
        <color theme="1"/>
        <rFont val="Calibri"/>
        <family val="2"/>
        <scheme val="minor"/>
      </rPr>
      <t>Based on, as of Mar 2022, ingredient pricing</t>
    </r>
  </si>
  <si>
    <r>
      <rPr>
        <vertAlign val="superscript"/>
        <sz val="12"/>
        <color theme="1"/>
        <rFont val="Calibri (Body)"/>
      </rPr>
      <t>2</t>
    </r>
    <r>
      <rPr>
        <sz val="12"/>
        <color theme="1"/>
        <rFont val="Calibri"/>
        <family val="2"/>
        <scheme val="minor"/>
      </rPr>
      <t xml:space="preserve"> Based on as of Mar 2022 ingredient pricing</t>
    </r>
  </si>
  <si>
    <r>
      <rPr>
        <vertAlign val="superscript"/>
        <sz val="12"/>
        <color theme="1"/>
        <rFont val="Calibri (Body)"/>
      </rPr>
      <t>3</t>
    </r>
    <r>
      <rPr>
        <sz val="12"/>
        <color theme="1"/>
        <rFont val="Calibri"/>
        <family val="2"/>
        <scheme val="minor"/>
      </rPr>
      <t xml:space="preserve"> ~ 5-10% max of a head of cattle's overall on-the-hoof weight is suitable to be turned into Jerky (w/o preservatives) and ~3 lbs of meat required to make 1 lb of jerky</t>
    </r>
  </si>
  <si>
    <r>
      <rPr>
        <vertAlign val="superscript"/>
        <sz val="12"/>
        <color theme="1"/>
        <rFont val="Calibri (Body)"/>
      </rPr>
      <t>1</t>
    </r>
    <r>
      <rPr>
        <sz val="12"/>
        <color theme="1"/>
        <rFont val="Calibri"/>
        <family val="2"/>
        <scheme val="minor"/>
      </rPr>
      <t xml:space="preserve"> Each milking goat &amp; ram requires 1.2 (1200lbs) hay bales/yr. If goats have to forage then milk production is reduced by 30-50%</t>
    </r>
  </si>
  <si>
    <t xml:space="preserve">2. Based on the variable planning input numbers entered below the calculator uses an extensive set of linked data and calculation worksheets incorporating extensive data and planning factors from published USDA, nutritional, WV State crop yield, food ingredient mix and quantities, animal husbandry management, calorie content, and strorage container volume databases to enable calculation of multiple calorie requirements, food type allocation percentages, food ingredient quantities, volumetric storage requirements, and cultivation and yield metrics. </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</si>
</sst>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4" formatCode="_(&quot;$&quot;* #,##0.00_);_(&quot;$&quot;* \(#,##0.00\);_(&quot;$&quot;* &quot;-&quot;??_);_(@_)"/>
    <numFmt numFmtId="43" formatCode="_(* #,##0.00_);_(* \(#,##0.00\);_(* &quot;-&quot;??_);_(@_)"/>
    <numFmt numFmtId="164" formatCode="_([$$-409]* #,##0.000000_);_([$$-409]* \(#,##0.000000\);_([$$-409]* &quot;-&quot;??_);_(@_)"/>
    <numFmt numFmtId="165" formatCode="_(* #,##0_);_(* \(#,##0\);_(* &quot;-&quot;??_);_(@_)"/>
    <numFmt numFmtId="166" formatCode="_(&quot;$&quot;* #,##0_);_(&quot;$&quot;* \(#,##0\);_(&quot;$&quot;* &quot;-&quot;??_);_(@_)"/>
    <numFmt numFmtId="167" formatCode="0.000"/>
    <numFmt numFmtId="168" formatCode="_(* #,##0_);_(* \(#,##0\);_(* &quot;-&quot;?_);_(@_)"/>
    <numFmt numFmtId="169" formatCode="0.0"/>
    <numFmt numFmtId="170" formatCode="_(* #,##0.0_);_(* \(#,##0.0\);_(* &quot;-&quot;??_);_(@_)"/>
    <numFmt numFmtId="171" formatCode="_(&quot;$&quot;* #,##0.0_);_(&quot;$&quot;* \(#,##0.0\);_(&quot;$&quot;* &quot;-&quot;??_);_(@_)"/>
    <numFmt numFmtId="172" formatCode="_(* #,##0.000_);_(* \(#,##0.000\);_(* &quot;-&quot;??_);_(@_)"/>
    <numFmt numFmtId="173" formatCode="_(* #,##0.0000_);_(* \(#,##0.0000\);_(* &quot;-&quot;??_);_(@_)"/>
    <numFmt numFmtId="174" formatCode="_([$$-409]* #,##0.00_);_([$$-409]* \(#,##0.00\);_([$$-409]* &quot;-&quot;??_);_(@_)"/>
    <numFmt numFmtId="175" formatCode="_([$$-409]* #,##0_);_([$$-409]* \(#,##0\);_([$$-409]* &quot;-&quot;??_);_(@_)"/>
  </numFmts>
  <fonts count="58">
    <font>
      <sz val="12"/>
      <color theme="1"/>
      <name val="Calibri"/>
      <family val="2"/>
      <scheme val="minor"/>
    </font>
    <font>
      <b/>
      <sz val="14"/>
      <color theme="1"/>
      <name val="Calibri"/>
      <family val="2"/>
      <scheme val="minor"/>
    </font>
    <font>
      <b/>
      <sz val="16"/>
      <color theme="1"/>
      <name val="Calibri"/>
      <family val="2"/>
      <scheme val="minor"/>
    </font>
    <font>
      <b/>
      <sz val="20"/>
      <color theme="1"/>
      <name val="Calibri"/>
      <family val="2"/>
      <scheme val="minor"/>
    </font>
    <font>
      <sz val="8"/>
      <name val="Calibri"/>
      <family val="2"/>
      <scheme val="minor"/>
    </font>
    <font>
      <sz val="12"/>
      <color theme="1"/>
      <name val="Calibri"/>
      <family val="2"/>
      <scheme val="minor"/>
    </font>
    <font>
      <sz val="14"/>
      <color theme="1"/>
      <name val="Calibri"/>
      <family val="2"/>
      <scheme val="minor"/>
    </font>
    <font>
      <sz val="12"/>
      <color theme="1"/>
      <name val="Calibri (Body)"/>
    </font>
    <font>
      <b/>
      <sz val="12"/>
      <color theme="1"/>
      <name val="Calibri"/>
      <family val="2"/>
      <scheme val="minor"/>
    </font>
    <font>
      <u/>
      <sz val="12"/>
      <color theme="10"/>
      <name val="Calibri"/>
      <family val="2"/>
      <scheme val="minor"/>
    </font>
    <font>
      <b/>
      <vertAlign val="superscript"/>
      <sz val="12"/>
      <color theme="1"/>
      <name val="Calibri (Body)"/>
    </font>
    <font>
      <vertAlign val="superscript"/>
      <sz val="12"/>
      <color theme="1"/>
      <name val="Calibri (Body)"/>
    </font>
    <font>
      <b/>
      <vertAlign val="superscript"/>
      <sz val="12"/>
      <color theme="1"/>
      <name val="Calibri"/>
      <family val="2"/>
      <scheme val="minor"/>
    </font>
    <font>
      <sz val="16"/>
      <color rgb="FF777777"/>
      <name val="Arial"/>
      <family val="2"/>
    </font>
    <font>
      <b/>
      <sz val="16"/>
      <color rgb="FF777777"/>
      <name val="Arial"/>
      <family val="2"/>
    </font>
    <font>
      <b/>
      <sz val="12"/>
      <color rgb="FF00B050"/>
      <name val="Calibri"/>
      <family val="2"/>
      <scheme val="minor"/>
    </font>
    <font>
      <b/>
      <sz val="12"/>
      <color rgb="FF0070C0"/>
      <name val="Calibri"/>
      <family val="2"/>
      <scheme val="minor"/>
    </font>
    <font>
      <b/>
      <sz val="12"/>
      <color rgb="FF7030A0"/>
      <name val="Calibri"/>
      <family val="2"/>
      <scheme val="minor"/>
    </font>
    <font>
      <sz val="16"/>
      <color theme="1"/>
      <name val="Calibri"/>
      <family val="2"/>
      <scheme val="minor"/>
    </font>
    <font>
      <b/>
      <sz val="18"/>
      <color theme="1"/>
      <name val="Calibri"/>
      <family val="2"/>
      <scheme val="minor"/>
    </font>
    <font>
      <b/>
      <sz val="14"/>
      <color rgb="FF000000"/>
      <name val="Calibri"/>
      <family val="2"/>
      <scheme val="minor"/>
    </font>
    <font>
      <sz val="12"/>
      <color rgb="FF000000"/>
      <name val="Calibri"/>
      <family val="2"/>
      <scheme val="minor"/>
    </font>
    <font>
      <sz val="12"/>
      <color rgb="FF222222"/>
      <name val="Calibri"/>
      <family val="2"/>
      <scheme val="minor"/>
    </font>
    <font>
      <sz val="20"/>
      <color theme="1"/>
      <name val="Calibri"/>
      <family val="2"/>
      <scheme val="minor"/>
    </font>
    <font>
      <b/>
      <sz val="16"/>
      <color rgb="FF000000"/>
      <name val="Calibri (Body)"/>
    </font>
    <font>
      <b/>
      <sz val="16"/>
      <color rgb="FF000000"/>
      <name val="Calibri"/>
      <family val="2"/>
      <scheme val="minor"/>
    </font>
    <font>
      <b/>
      <sz val="12"/>
      <color rgb="FFFF0000"/>
      <name val="Calibri"/>
      <family val="2"/>
      <scheme val="minor"/>
    </font>
    <font>
      <b/>
      <sz val="16"/>
      <color theme="1"/>
      <name val="Calibri (Body)"/>
    </font>
    <font>
      <sz val="9"/>
      <color theme="1"/>
      <name val="Calibri"/>
      <family val="2"/>
      <scheme val="minor"/>
    </font>
    <font>
      <b/>
      <sz val="10"/>
      <color theme="1"/>
      <name val="Calibri"/>
      <family val="2"/>
      <scheme val="minor"/>
    </font>
    <font>
      <b/>
      <sz val="10"/>
      <color rgb="FF000000"/>
      <name val="Calibri"/>
      <family val="2"/>
      <scheme val="minor"/>
    </font>
    <font>
      <b/>
      <vertAlign val="superscript"/>
      <sz val="14"/>
      <color theme="1"/>
      <name val="Calibri (Body)"/>
    </font>
    <font>
      <b/>
      <vertAlign val="superscript"/>
      <sz val="16"/>
      <color theme="1"/>
      <name val="Calibri (Body)"/>
    </font>
    <font>
      <vertAlign val="superscript"/>
      <sz val="12"/>
      <color rgb="FF000000"/>
      <name val="Calibri (Body)"/>
    </font>
    <font>
      <b/>
      <sz val="14"/>
      <color theme="1"/>
      <name val="Calibri (Body)"/>
    </font>
    <font>
      <sz val="12"/>
      <color rgb="FFFF0000"/>
      <name val="Calibri (Body)"/>
    </font>
    <font>
      <b/>
      <sz val="14"/>
      <color theme="4"/>
      <name val="Calibri (Body)"/>
    </font>
    <font>
      <b/>
      <sz val="14"/>
      <color rgb="FF00B050"/>
      <name val="Calibri (Body)"/>
    </font>
    <font>
      <b/>
      <sz val="20"/>
      <color theme="1"/>
      <name val="Calibri (Body)"/>
    </font>
    <font>
      <b/>
      <i/>
      <sz val="14"/>
      <color theme="1"/>
      <name val="Calibri (Body)"/>
    </font>
    <font>
      <vertAlign val="superscript"/>
      <sz val="20"/>
      <color theme="1"/>
      <name val="Calibri (Body)"/>
    </font>
    <font>
      <sz val="11"/>
      <color theme="1"/>
      <name val="Calibri (Body)"/>
    </font>
    <font>
      <vertAlign val="superscript"/>
      <sz val="11"/>
      <color theme="1"/>
      <name val="Calibri (Body)"/>
    </font>
    <font>
      <b/>
      <sz val="20"/>
      <color theme="8" tint="-0.249977111117893"/>
      <name val="Calibri"/>
      <family val="2"/>
      <scheme val="minor"/>
    </font>
    <font>
      <b/>
      <sz val="22"/>
      <color theme="8" tint="-0.249977111117893"/>
      <name val="Calibri"/>
      <family val="2"/>
      <scheme val="minor"/>
    </font>
    <font>
      <b/>
      <sz val="22"/>
      <color theme="1"/>
      <name val="Calibri"/>
      <family val="2"/>
      <scheme val="minor"/>
    </font>
    <font>
      <b/>
      <sz val="14"/>
      <color rgb="FFFF0000"/>
      <name val="Calibri (Body)"/>
    </font>
    <font>
      <vertAlign val="superscript"/>
      <sz val="12"/>
      <color rgb="FFFF0000"/>
      <name val="Calibri (Body)"/>
    </font>
    <font>
      <b/>
      <sz val="20"/>
      <color theme="4"/>
      <name val="Calibri (Body)"/>
    </font>
    <font>
      <sz val="11"/>
      <color rgb="FFFF0000"/>
      <name val="Calibri (Body)"/>
    </font>
    <font>
      <vertAlign val="superscript"/>
      <sz val="11"/>
      <color rgb="FFFF0000"/>
      <name val="Calibri (Body)"/>
    </font>
    <font>
      <b/>
      <sz val="12"/>
      <color theme="1"/>
      <name val="Calibri (Body)"/>
    </font>
    <font>
      <b/>
      <vertAlign val="superscript"/>
      <sz val="12"/>
      <color rgb="FFFF0000"/>
      <name val="Calibri (Body)"/>
    </font>
    <font>
      <b/>
      <sz val="12"/>
      <color rgb="FFFF0000"/>
      <name val="Calibri (Body)"/>
    </font>
    <font>
      <b/>
      <sz val="20"/>
      <color theme="8" tint="-0.249977111117893"/>
      <name val="Calibri (Body)"/>
    </font>
    <font>
      <b/>
      <sz val="12"/>
      <color rgb="FF00B050"/>
      <name val="Calibri (Body)"/>
    </font>
    <font>
      <b/>
      <sz val="24"/>
      <color theme="8" tint="-0.249977111117893"/>
      <name val="Calibri (Body)"/>
    </font>
    <font>
      <b/>
      <sz val="24"/>
      <color theme="8" tint="-0.249977111117893"/>
      <name val="Calibri"/>
      <family val="2"/>
      <scheme val="minor"/>
    </font>
  </fonts>
  <fills count="18">
    <fill>
      <patternFill patternType="none"/>
    </fill>
    <fill>
      <patternFill patternType="gray125"/>
    </fill>
    <fill>
      <patternFill patternType="solid">
        <fgColor theme="8"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theme="2"/>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rgb="FFDDEBF7"/>
        <bgColor rgb="FF000000"/>
      </patternFill>
    </fill>
    <fill>
      <patternFill patternType="solid">
        <fgColor theme="9" tint="0.39997558519241921"/>
        <bgColor indexed="64"/>
      </patternFill>
    </fill>
    <fill>
      <patternFill patternType="solid">
        <fgColor theme="8" tint="0.39997558519241921"/>
        <bgColor indexed="64"/>
      </patternFill>
    </fill>
    <fill>
      <patternFill patternType="solid">
        <fgColor theme="1"/>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rgb="FFA9D08E"/>
        <bgColor rgb="FF000000"/>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5">
    <xf numFmtId="0" fontId="0" fillId="0" borderId="0"/>
    <xf numFmtId="43"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0" fontId="9" fillId="0" borderId="0" applyNumberFormat="0" applyFill="0" applyBorder="0" applyAlignment="0" applyProtection="0"/>
  </cellStyleXfs>
  <cellXfs count="526">
    <xf numFmtId="0" fontId="0" fillId="0" borderId="0" xfId="0"/>
    <xf numFmtId="0" fontId="2" fillId="2" borderId="0" xfId="0" applyFont="1" applyFill="1"/>
    <xf numFmtId="0" fontId="2" fillId="3" borderId="0" xfId="0" applyFont="1" applyFill="1"/>
    <xf numFmtId="0" fontId="2" fillId="4" borderId="0" xfId="0" applyFont="1" applyFill="1"/>
    <xf numFmtId="0" fontId="1" fillId="0" borderId="0" xfId="0" applyFont="1" applyAlignment="1">
      <alignment horizontal="center" wrapText="1"/>
    </xf>
    <xf numFmtId="0" fontId="1" fillId="0" borderId="0" xfId="0" applyFont="1" applyAlignment="1">
      <alignment horizontal="center"/>
    </xf>
    <xf numFmtId="0" fontId="0" fillId="0" borderId="0" xfId="0" applyAlignment="1">
      <alignment horizontal="center"/>
    </xf>
    <xf numFmtId="0" fontId="2" fillId="0" borderId="0" xfId="0" applyFont="1" applyFill="1" applyAlignment="1">
      <alignment horizontal="center"/>
    </xf>
    <xf numFmtId="0" fontId="2" fillId="5" borderId="0" xfId="0" applyFont="1" applyFill="1"/>
    <xf numFmtId="0" fontId="3" fillId="0" borderId="0" xfId="0" applyFont="1" applyAlignment="1">
      <alignment wrapText="1"/>
    </xf>
    <xf numFmtId="0" fontId="2" fillId="0" borderId="0" xfId="0" applyFont="1" applyAlignment="1">
      <alignment horizontal="center" wrapText="1"/>
    </xf>
    <xf numFmtId="0" fontId="2" fillId="0" borderId="0" xfId="0" applyFont="1" applyAlignment="1">
      <alignment horizontal="center"/>
    </xf>
    <xf numFmtId="0" fontId="2" fillId="6" borderId="0" xfId="0" applyFont="1" applyFill="1"/>
    <xf numFmtId="164" fontId="0" fillId="0" borderId="0" xfId="0" applyNumberFormat="1"/>
    <xf numFmtId="9" fontId="0" fillId="0" borderId="0" xfId="3" applyFont="1"/>
    <xf numFmtId="44" fontId="0" fillId="0" borderId="0" xfId="2" applyFont="1"/>
    <xf numFmtId="0" fontId="0" fillId="0" borderId="0" xfId="0" applyAlignment="1">
      <alignment horizontal="center" wrapText="1"/>
    </xf>
    <xf numFmtId="165" fontId="0" fillId="0" borderId="0" xfId="1" applyNumberFormat="1" applyFont="1"/>
    <xf numFmtId="165" fontId="0" fillId="0" borderId="0" xfId="0" applyNumberFormat="1"/>
    <xf numFmtId="43" fontId="0" fillId="0" borderId="0" xfId="0" applyNumberFormat="1"/>
    <xf numFmtId="0" fontId="0" fillId="0" borderId="0" xfId="0" applyAlignment="1">
      <alignment horizontal="center"/>
    </xf>
    <xf numFmtId="166" fontId="0" fillId="0" borderId="0" xfId="2" applyNumberFormat="1" applyFont="1"/>
    <xf numFmtId="0" fontId="0" fillId="0" borderId="0" xfId="0" applyAlignment="1">
      <alignment horizontal="center" wrapText="1"/>
    </xf>
    <xf numFmtId="0" fontId="0" fillId="0" borderId="0" xfId="0" applyAlignment="1">
      <alignment horizontal="center"/>
    </xf>
    <xf numFmtId="0" fontId="0" fillId="0" borderId="0" xfId="0" applyAlignment="1">
      <alignment wrapText="1"/>
    </xf>
    <xf numFmtId="0" fontId="8" fillId="0" borderId="0" xfId="0" applyFont="1"/>
    <xf numFmtId="0" fontId="0" fillId="0" borderId="0" xfId="0" applyAlignment="1">
      <alignment wrapText="1"/>
    </xf>
    <xf numFmtId="0" fontId="0" fillId="0" borderId="0" xfId="0" applyAlignment="1">
      <alignment horizontal="left" indent="1"/>
    </xf>
    <xf numFmtId="0" fontId="8" fillId="0" borderId="0" xfId="0" applyFont="1" applyAlignment="1">
      <alignment horizontal="left" indent="1"/>
    </xf>
    <xf numFmtId="0" fontId="8" fillId="0" borderId="0" xfId="0" applyFont="1" applyAlignment="1"/>
    <xf numFmtId="167" fontId="0" fillId="0" borderId="0" xfId="0" applyNumberFormat="1"/>
    <xf numFmtId="2" fontId="0" fillId="0" borderId="0" xfId="0" applyNumberFormat="1"/>
    <xf numFmtId="0" fontId="14" fillId="0" borderId="0" xfId="0" applyFont="1"/>
    <xf numFmtId="0" fontId="13" fillId="0" borderId="0" xfId="0" applyFont="1"/>
    <xf numFmtId="0" fontId="8" fillId="0" borderId="0" xfId="0" applyFont="1" applyAlignment="1">
      <alignment horizontal="center"/>
    </xf>
    <xf numFmtId="0" fontId="8" fillId="0" borderId="0" xfId="0" applyFont="1" applyAlignment="1">
      <alignment horizontal="center"/>
    </xf>
    <xf numFmtId="0" fontId="8" fillId="0" borderId="0" xfId="0" applyFont="1"/>
    <xf numFmtId="1" fontId="0" fillId="0" borderId="0" xfId="0" applyNumberFormat="1"/>
    <xf numFmtId="165" fontId="8" fillId="0" borderId="0" xfId="1" applyNumberFormat="1" applyFont="1"/>
    <xf numFmtId="0" fontId="8" fillId="0" borderId="0" xfId="0" applyFont="1" applyAlignment="1">
      <alignment horizontal="right"/>
    </xf>
    <xf numFmtId="165" fontId="8" fillId="0" borderId="0" xfId="0" applyNumberFormat="1" applyFont="1"/>
    <xf numFmtId="168" fontId="0" fillId="0" borderId="0" xfId="0" applyNumberFormat="1"/>
    <xf numFmtId="165" fontId="15" fillId="0" borderId="0" xfId="1" applyNumberFormat="1" applyFont="1"/>
    <xf numFmtId="0" fontId="3" fillId="0" borderId="0" xfId="0" applyFont="1" applyAlignment="1">
      <alignment wrapText="1"/>
    </xf>
    <xf numFmtId="0" fontId="0" fillId="0" borderId="0" xfId="0" applyAlignment="1">
      <alignment wrapText="1"/>
    </xf>
    <xf numFmtId="0" fontId="8" fillId="0" borderId="0" xfId="0" applyFont="1" applyAlignment="1">
      <alignment horizontal="right"/>
    </xf>
    <xf numFmtId="3" fontId="0" fillId="0" borderId="0" xfId="0" applyNumberFormat="1" applyAlignment="1">
      <alignment horizontal="center"/>
    </xf>
    <xf numFmtId="0" fontId="0" fillId="8" borderId="0" xfId="0" applyFill="1" applyAlignment="1">
      <alignment horizontal="center"/>
    </xf>
    <xf numFmtId="3" fontId="0" fillId="8" borderId="0" xfId="0" applyNumberFormat="1" applyFill="1" applyAlignment="1">
      <alignment horizontal="center"/>
    </xf>
    <xf numFmtId="0" fontId="0" fillId="0" borderId="0" xfId="0" applyAlignment="1"/>
    <xf numFmtId="0" fontId="2" fillId="8" borderId="0" xfId="0" applyFont="1" applyFill="1" applyAlignment="1">
      <alignment horizontal="center"/>
    </xf>
    <xf numFmtId="0" fontId="16" fillId="0" borderId="0" xfId="0" applyFont="1"/>
    <xf numFmtId="0" fontId="17" fillId="0" borderId="0" xfId="0" applyFont="1"/>
    <xf numFmtId="0" fontId="0" fillId="0" borderId="0" xfId="0" applyFont="1"/>
    <xf numFmtId="0" fontId="2" fillId="0" borderId="0" xfId="0" applyFont="1"/>
    <xf numFmtId="0" fontId="18" fillId="0" borderId="0" xfId="0" applyFont="1"/>
    <xf numFmtId="0" fontId="1" fillId="0" borderId="0" xfId="0" applyFont="1"/>
    <xf numFmtId="0" fontId="19" fillId="0" borderId="0" xfId="0" applyFont="1"/>
    <xf numFmtId="0" fontId="9" fillId="0" borderId="0" xfId="4" applyAlignment="1">
      <alignment horizontal="left" indent="1"/>
    </xf>
    <xf numFmtId="0" fontId="21" fillId="0" borderId="0" xfId="0" applyFont="1" applyAlignment="1">
      <alignment horizontal="left" indent="1"/>
    </xf>
    <xf numFmtId="0" fontId="21" fillId="0" borderId="0" xfId="0" applyFont="1"/>
    <xf numFmtId="0" fontId="3" fillId="0" borderId="0" xfId="0" applyFont="1"/>
    <xf numFmtId="0" fontId="22" fillId="0" borderId="0" xfId="0" applyFont="1"/>
    <xf numFmtId="0" fontId="0" fillId="0" borderId="0" xfId="0" applyAlignment="1">
      <alignment horizontal="right"/>
    </xf>
    <xf numFmtId="0" fontId="1" fillId="9" borderId="0" xfId="0" applyFont="1" applyFill="1"/>
    <xf numFmtId="0" fontId="1" fillId="7" borderId="0" xfId="0" applyFont="1" applyFill="1"/>
    <xf numFmtId="0" fontId="0" fillId="0" borderId="0" xfId="0" applyFill="1" applyAlignment="1">
      <alignment horizontal="center"/>
    </xf>
    <xf numFmtId="0" fontId="0" fillId="4" borderId="6" xfId="0" applyFill="1" applyBorder="1" applyAlignment="1">
      <alignment horizontal="center"/>
    </xf>
    <xf numFmtId="9" fontId="8" fillId="0" borderId="0" xfId="0" applyNumberFormat="1" applyFont="1"/>
    <xf numFmtId="0" fontId="1" fillId="3" borderId="0" xfId="0" applyFont="1" applyFill="1" applyAlignment="1">
      <alignment horizontal="left"/>
    </xf>
    <xf numFmtId="0" fontId="0" fillId="0" borderId="0" xfId="0" applyFont="1" applyAlignment="1">
      <alignment horizontal="right"/>
    </xf>
    <xf numFmtId="0" fontId="8" fillId="0" borderId="0" xfId="0" applyFont="1" applyAlignment="1">
      <alignment horizontal="center" wrapText="1"/>
    </xf>
    <xf numFmtId="0" fontId="0" fillId="0" borderId="0" xfId="0" applyFont="1" applyAlignment="1">
      <alignment horizontal="center"/>
    </xf>
    <xf numFmtId="0" fontId="23" fillId="0" borderId="0" xfId="0" applyFont="1" applyAlignment="1">
      <alignment wrapText="1"/>
    </xf>
    <xf numFmtId="0" fontId="23" fillId="0" borderId="0" xfId="0" applyFont="1" applyAlignment="1">
      <alignment wrapText="1"/>
    </xf>
    <xf numFmtId="0" fontId="0" fillId="0" borderId="0" xfId="0" quotePrefix="1"/>
    <xf numFmtId="1" fontId="8" fillId="0" borderId="0" xfId="0" applyNumberFormat="1" applyFont="1"/>
    <xf numFmtId="0" fontId="8" fillId="2" borderId="0" xfId="0" applyFont="1" applyFill="1" applyAlignment="1">
      <alignment horizontal="center"/>
    </xf>
    <xf numFmtId="165" fontId="8" fillId="4" borderId="0" xfId="1" applyNumberFormat="1" applyFont="1" applyFill="1" applyAlignment="1"/>
    <xf numFmtId="43" fontId="8" fillId="4" borderId="0" xfId="1" applyFont="1" applyFill="1" applyAlignment="1"/>
    <xf numFmtId="165" fontId="0" fillId="0" borderId="0" xfId="1" applyNumberFormat="1" applyFont="1" applyAlignment="1">
      <alignment horizontal="center"/>
    </xf>
    <xf numFmtId="43" fontId="8" fillId="0" borderId="0" xfId="0" applyNumberFormat="1" applyFont="1"/>
    <xf numFmtId="0" fontId="24" fillId="0" borderId="0" xfId="0" applyFont="1" applyAlignment="1">
      <alignment horizontal="left"/>
    </xf>
    <xf numFmtId="0" fontId="25" fillId="0" borderId="0" xfId="0" applyFont="1"/>
    <xf numFmtId="3" fontId="0" fillId="0" borderId="0" xfId="0" applyNumberFormat="1"/>
    <xf numFmtId="0" fontId="20" fillId="0" borderId="0" xfId="0" applyFont="1" applyAlignment="1">
      <alignment horizontal="center" wrapText="1"/>
    </xf>
    <xf numFmtId="1" fontId="21" fillId="0" borderId="0" xfId="0" applyNumberFormat="1" applyFont="1"/>
    <xf numFmtId="165" fontId="21" fillId="0" borderId="0" xfId="0" applyNumberFormat="1" applyFont="1"/>
    <xf numFmtId="2" fontId="21" fillId="0" borderId="0" xfId="0" applyNumberFormat="1" applyFont="1"/>
    <xf numFmtId="0" fontId="28" fillId="2" borderId="1" xfId="0" applyFont="1" applyFill="1" applyBorder="1"/>
    <xf numFmtId="0" fontId="0" fillId="0" borderId="1" xfId="0" applyBorder="1"/>
    <xf numFmtId="0" fontId="0" fillId="0" borderId="1" xfId="0" applyBorder="1" applyAlignment="1">
      <alignment horizontal="center"/>
    </xf>
    <xf numFmtId="49" fontId="8" fillId="0" borderId="0" xfId="0" applyNumberFormat="1" applyFont="1"/>
    <xf numFmtId="0" fontId="30" fillId="0" borderId="1" xfId="0" applyFont="1" applyBorder="1" applyAlignment="1">
      <alignment horizontal="center" wrapText="1"/>
    </xf>
    <xf numFmtId="0" fontId="29" fillId="0" borderId="1" xfId="0" applyFont="1" applyBorder="1" applyAlignment="1">
      <alignment horizontal="center" wrapText="1"/>
    </xf>
    <xf numFmtId="0" fontId="0" fillId="13" borderId="1" xfId="0" applyFill="1" applyBorder="1"/>
    <xf numFmtId="0" fontId="8" fillId="0" borderId="0" xfId="0" applyFont="1" applyAlignment="1">
      <alignment horizontal="right" indent="1"/>
    </xf>
    <xf numFmtId="0" fontId="0" fillId="12" borderId="1" xfId="0" applyFill="1" applyBorder="1"/>
    <xf numFmtId="10" fontId="0" fillId="0" borderId="0" xfId="0" applyNumberFormat="1"/>
    <xf numFmtId="0" fontId="8" fillId="0" borderId="0" xfId="0" applyFont="1" applyFill="1" applyBorder="1"/>
    <xf numFmtId="10" fontId="0" fillId="0" borderId="0" xfId="0" applyNumberFormat="1" applyFill="1"/>
    <xf numFmtId="0" fontId="0" fillId="0" borderId="0" xfId="0" applyFill="1"/>
    <xf numFmtId="0" fontId="0" fillId="0" borderId="1" xfId="0" applyBorder="1" applyAlignment="1">
      <alignment horizontal="center" wrapText="1"/>
    </xf>
    <xf numFmtId="0" fontId="0" fillId="0" borderId="0" xfId="0" applyAlignment="1" applyProtection="1">
      <alignment horizontal="center"/>
    </xf>
    <xf numFmtId="0" fontId="1" fillId="0" borderId="0" xfId="0" applyFont="1" applyProtection="1"/>
    <xf numFmtId="0" fontId="8" fillId="5" borderId="1" xfId="0" applyFont="1" applyFill="1" applyBorder="1" applyAlignment="1" applyProtection="1">
      <alignment horizontal="center"/>
    </xf>
    <xf numFmtId="0" fontId="0" fillId="0" borderId="1" xfId="0" applyBorder="1" applyProtection="1"/>
    <xf numFmtId="0" fontId="0" fillId="0" borderId="0" xfId="0" applyProtection="1"/>
    <xf numFmtId="0" fontId="8" fillId="3" borderId="1" xfId="0" applyFont="1" applyFill="1" applyBorder="1" applyAlignment="1" applyProtection="1">
      <alignment horizontal="center"/>
    </xf>
    <xf numFmtId="0" fontId="0" fillId="0" borderId="1" xfId="0" applyBorder="1" applyAlignment="1" applyProtection="1">
      <alignment wrapText="1"/>
    </xf>
    <xf numFmtId="0" fontId="8" fillId="2" borderId="1" xfId="0" applyFont="1" applyFill="1" applyBorder="1" applyAlignment="1" applyProtection="1">
      <alignment horizontal="center"/>
    </xf>
    <xf numFmtId="0" fontId="20" fillId="11" borderId="1" xfId="0" applyFont="1" applyFill="1" applyBorder="1" applyProtection="1"/>
    <xf numFmtId="0" fontId="21" fillId="0" borderId="1" xfId="0" applyFont="1" applyBorder="1" applyProtection="1"/>
    <xf numFmtId="0" fontId="1" fillId="5" borderId="1" xfId="0" applyFont="1" applyFill="1" applyBorder="1" applyProtection="1"/>
    <xf numFmtId="0" fontId="15" fillId="0" borderId="0" xfId="0" applyFont="1" applyAlignment="1">
      <alignment horizontal="left"/>
    </xf>
    <xf numFmtId="0" fontId="8" fillId="0" borderId="0" xfId="0" applyFont="1" applyFill="1" applyBorder="1"/>
    <xf numFmtId="1" fontId="8" fillId="0" borderId="0" xfId="0" applyNumberFormat="1" applyFont="1" applyAlignment="1">
      <alignment horizontal="center"/>
    </xf>
    <xf numFmtId="165" fontId="1" fillId="0" borderId="0" xfId="1" applyNumberFormat="1" applyFont="1"/>
    <xf numFmtId="9" fontId="1" fillId="0" borderId="0" xfId="3" applyFont="1"/>
    <xf numFmtId="165" fontId="1" fillId="0" borderId="0" xfId="0" applyNumberFormat="1" applyFont="1"/>
    <xf numFmtId="1" fontId="1" fillId="0" borderId="0" xfId="0" applyNumberFormat="1" applyFont="1" applyAlignment="1">
      <alignment wrapText="1"/>
    </xf>
    <xf numFmtId="2" fontId="8" fillId="0" borderId="0" xfId="0" applyNumberFormat="1" applyFont="1"/>
    <xf numFmtId="167" fontId="8" fillId="0" borderId="0" xfId="0" applyNumberFormat="1" applyFont="1"/>
    <xf numFmtId="0" fontId="21" fillId="14" borderId="1" xfId="0" applyFont="1" applyFill="1" applyBorder="1"/>
    <xf numFmtId="0" fontId="0" fillId="14" borderId="1" xfId="0" applyFill="1" applyBorder="1"/>
    <xf numFmtId="0" fontId="0" fillId="0" borderId="0" xfId="0" applyBorder="1" applyAlignment="1" applyProtection="1">
      <alignment wrapText="1"/>
    </xf>
    <xf numFmtId="0" fontId="0" fillId="0" borderId="0" xfId="0" applyBorder="1" applyAlignment="1">
      <alignment horizontal="center" wrapText="1"/>
    </xf>
    <xf numFmtId="10" fontId="0" fillId="0" borderId="0" xfId="0" applyNumberFormat="1" applyFill="1" applyBorder="1" applyAlignment="1">
      <alignment wrapText="1"/>
    </xf>
    <xf numFmtId="0" fontId="0" fillId="0" borderId="0" xfId="0" applyBorder="1"/>
    <xf numFmtId="0" fontId="1" fillId="0" borderId="0" xfId="0" applyFont="1" applyAlignment="1" applyProtection="1">
      <alignment horizontal="center"/>
    </xf>
    <xf numFmtId="0" fontId="0" fillId="0" borderId="0" xfId="0" applyBorder="1" applyProtection="1"/>
    <xf numFmtId="0" fontId="0" fillId="0" borderId="0" xfId="0" applyFill="1" applyBorder="1" applyProtection="1"/>
    <xf numFmtId="0" fontId="38" fillId="9" borderId="8" xfId="0" applyFont="1" applyFill="1" applyBorder="1" applyAlignment="1">
      <alignment horizontal="center"/>
    </xf>
    <xf numFmtId="0" fontId="0" fillId="9" borderId="9" xfId="0" applyFill="1" applyBorder="1"/>
    <xf numFmtId="0" fontId="0" fillId="9" borderId="8" xfId="0" applyFill="1" applyBorder="1" applyAlignment="1">
      <alignment horizontal="center"/>
    </xf>
    <xf numFmtId="0" fontId="0" fillId="9" borderId="0" xfId="0" applyFill="1" applyBorder="1"/>
    <xf numFmtId="0" fontId="35" fillId="9" borderId="6" xfId="0" applyFont="1" applyFill="1" applyBorder="1" applyAlignment="1">
      <alignment horizontal="left"/>
    </xf>
    <xf numFmtId="0" fontId="0" fillId="9" borderId="6" xfId="0" applyFill="1" applyBorder="1"/>
    <xf numFmtId="0" fontId="0" fillId="9" borderId="7" xfId="0" applyFill="1" applyBorder="1"/>
    <xf numFmtId="0" fontId="38" fillId="15" borderId="8" xfId="0" applyFont="1" applyFill="1" applyBorder="1" applyAlignment="1">
      <alignment horizontal="center"/>
    </xf>
    <xf numFmtId="0" fontId="27" fillId="15" borderId="0" xfId="0" applyFont="1" applyFill="1" applyBorder="1" applyAlignment="1">
      <alignment horizontal="center"/>
    </xf>
    <xf numFmtId="0" fontId="0" fillId="15" borderId="9" xfId="0" applyFill="1" applyBorder="1"/>
    <xf numFmtId="0" fontId="0" fillId="15" borderId="8" xfId="0" applyFill="1" applyBorder="1" applyAlignment="1">
      <alignment horizontal="center"/>
    </xf>
    <xf numFmtId="0" fontId="0" fillId="15" borderId="0" xfId="0" applyFill="1" applyBorder="1"/>
    <xf numFmtId="0" fontId="0" fillId="15" borderId="5" xfId="0" applyFill="1" applyBorder="1" applyAlignment="1">
      <alignment horizontal="left"/>
    </xf>
    <xf numFmtId="0" fontId="35" fillId="15" borderId="6" xfId="0" applyFont="1" applyFill="1" applyBorder="1" applyAlignment="1">
      <alignment horizontal="left"/>
    </xf>
    <xf numFmtId="0" fontId="0" fillId="15" borderId="6" xfId="0" applyFill="1" applyBorder="1"/>
    <xf numFmtId="0" fontId="0" fillId="15" borderId="7" xfId="0" applyFill="1" applyBorder="1"/>
    <xf numFmtId="0" fontId="0" fillId="5" borderId="0" xfId="0" applyFill="1"/>
    <xf numFmtId="0" fontId="1" fillId="5" borderId="1" xfId="0" applyFont="1" applyFill="1" applyBorder="1" applyAlignment="1">
      <alignment horizontal="left"/>
    </xf>
    <xf numFmtId="0" fontId="1" fillId="5" borderId="1" xfId="0" applyFont="1" applyFill="1" applyBorder="1"/>
    <xf numFmtId="0" fontId="0" fillId="5" borderId="1" xfId="0" applyFill="1" applyBorder="1" applyAlignment="1">
      <alignment wrapText="1"/>
    </xf>
    <xf numFmtId="0" fontId="0" fillId="5" borderId="1" xfId="0" applyFill="1" applyBorder="1"/>
    <xf numFmtId="165" fontId="0" fillId="5" borderId="1" xfId="1" applyNumberFormat="1" applyFont="1" applyFill="1" applyBorder="1"/>
    <xf numFmtId="0" fontId="0" fillId="5" borderId="1" xfId="0" applyFill="1" applyBorder="1" applyAlignment="1">
      <alignment horizontal="center"/>
    </xf>
    <xf numFmtId="165" fontId="0" fillId="5" borderId="1" xfId="0" applyNumberFormat="1" applyFill="1" applyBorder="1"/>
    <xf numFmtId="0" fontId="8" fillId="5" borderId="1" xfId="0" applyFont="1" applyFill="1" applyBorder="1" applyAlignment="1">
      <alignment horizontal="center"/>
    </xf>
    <xf numFmtId="165" fontId="8" fillId="5" borderId="1" xfId="1" applyNumberFormat="1" applyFont="1" applyFill="1" applyBorder="1"/>
    <xf numFmtId="165" fontId="8" fillId="5" borderId="1" xfId="0" applyNumberFormat="1" applyFont="1" applyFill="1" applyBorder="1"/>
    <xf numFmtId="165" fontId="1" fillId="5" borderId="1" xfId="1" applyNumberFormat="1" applyFont="1" applyFill="1" applyBorder="1"/>
    <xf numFmtId="165" fontId="1" fillId="5" borderId="1" xfId="0" applyNumberFormat="1" applyFont="1" applyFill="1" applyBorder="1"/>
    <xf numFmtId="165" fontId="1" fillId="12" borderId="1" xfId="1" applyNumberFormat="1" applyFont="1" applyFill="1" applyBorder="1"/>
    <xf numFmtId="165" fontId="1" fillId="12" borderId="1" xfId="0" applyNumberFormat="1" applyFont="1" applyFill="1" applyBorder="1"/>
    <xf numFmtId="169" fontId="0" fillId="0" borderId="0" xfId="0" applyNumberFormat="1"/>
    <xf numFmtId="165" fontId="0" fillId="14" borderId="0" xfId="0" applyNumberFormat="1" applyFill="1"/>
    <xf numFmtId="1" fontId="8" fillId="12" borderId="1" xfId="0" applyNumberFormat="1" applyFont="1" applyFill="1" applyBorder="1"/>
    <xf numFmtId="1" fontId="1" fillId="12" borderId="1" xfId="0" applyNumberFormat="1" applyFont="1" applyFill="1" applyBorder="1"/>
    <xf numFmtId="10" fontId="1" fillId="12" borderId="1" xfId="0" applyNumberFormat="1" applyFont="1" applyFill="1" applyBorder="1" applyAlignment="1">
      <alignment wrapText="1"/>
    </xf>
    <xf numFmtId="0" fontId="0" fillId="14" borderId="0" xfId="0" applyFill="1"/>
    <xf numFmtId="166" fontId="0" fillId="0" borderId="0" xfId="0" applyNumberFormat="1"/>
    <xf numFmtId="166" fontId="0" fillId="0" borderId="0" xfId="0" applyNumberFormat="1" applyFill="1"/>
    <xf numFmtId="166" fontId="8" fillId="0" borderId="0" xfId="0" applyNumberFormat="1" applyFont="1" applyFill="1"/>
    <xf numFmtId="171" fontId="0" fillId="0" borderId="0" xfId="2" applyNumberFormat="1" applyFont="1"/>
    <xf numFmtId="166" fontId="1" fillId="14" borderId="1" xfId="2" applyNumberFormat="1" applyFont="1" applyFill="1" applyBorder="1"/>
    <xf numFmtId="165" fontId="1" fillId="14" borderId="1" xfId="0" applyNumberFormat="1" applyFont="1" applyFill="1" applyBorder="1"/>
    <xf numFmtId="0" fontId="0" fillId="5" borderId="1" xfId="0" applyFill="1" applyBorder="1" applyAlignment="1">
      <alignment horizontal="center" wrapText="1"/>
    </xf>
    <xf numFmtId="9" fontId="1" fillId="5" borderId="1" xfId="3" applyFont="1" applyFill="1" applyBorder="1"/>
    <xf numFmtId="1" fontId="1" fillId="5" borderId="1" xfId="0" applyNumberFormat="1" applyFont="1" applyFill="1" applyBorder="1"/>
    <xf numFmtId="166" fontId="1" fillId="5" borderId="1" xfId="2" applyNumberFormat="1" applyFont="1" applyFill="1" applyBorder="1"/>
    <xf numFmtId="44" fontId="1" fillId="5" borderId="1" xfId="2" applyFont="1" applyFill="1" applyBorder="1"/>
    <xf numFmtId="9" fontId="1" fillId="5" borderId="1" xfId="0" applyNumberFormat="1" applyFont="1" applyFill="1" applyBorder="1"/>
    <xf numFmtId="9" fontId="1" fillId="12" borderId="1" xfId="3" applyFont="1" applyFill="1" applyBorder="1"/>
    <xf numFmtId="166" fontId="1" fillId="12" borderId="1" xfId="2" applyNumberFormat="1" applyFont="1" applyFill="1" applyBorder="1"/>
    <xf numFmtId="44" fontId="1" fillId="12" borderId="1" xfId="2" applyFont="1" applyFill="1" applyBorder="1"/>
    <xf numFmtId="9" fontId="1" fillId="12" borderId="1" xfId="0" applyNumberFormat="1" applyFont="1" applyFill="1" applyBorder="1"/>
    <xf numFmtId="0" fontId="1" fillId="12" borderId="1" xfId="0" applyFont="1" applyFill="1" applyBorder="1"/>
    <xf numFmtId="170" fontId="1" fillId="12" borderId="1" xfId="0" applyNumberFormat="1" applyFont="1" applyFill="1" applyBorder="1"/>
    <xf numFmtId="0" fontId="41" fillId="0" borderId="0" xfId="0" applyFont="1" applyAlignment="1">
      <alignment wrapText="1"/>
    </xf>
    <xf numFmtId="0" fontId="8" fillId="5" borderId="1" xfId="0" applyFont="1" applyFill="1" applyBorder="1"/>
    <xf numFmtId="0" fontId="8" fillId="5" borderId="1" xfId="0" applyFont="1" applyFill="1" applyBorder="1" applyAlignment="1">
      <alignment wrapText="1"/>
    </xf>
    <xf numFmtId="170" fontId="1" fillId="12" borderId="1" xfId="1" applyNumberFormat="1" applyFont="1" applyFill="1" applyBorder="1"/>
    <xf numFmtId="165" fontId="8" fillId="12" borderId="1" xfId="1" applyNumberFormat="1" applyFont="1" applyFill="1" applyBorder="1"/>
    <xf numFmtId="0" fontId="0" fillId="3" borderId="1" xfId="0" applyFill="1" applyBorder="1"/>
    <xf numFmtId="165" fontId="1" fillId="12" borderId="1" xfId="1" applyNumberFormat="1" applyFont="1" applyFill="1" applyBorder="1" applyAlignment="1">
      <alignment wrapText="1"/>
    </xf>
    <xf numFmtId="165" fontId="23" fillId="0" borderId="0" xfId="1" applyNumberFormat="1" applyFont="1" applyAlignment="1">
      <alignment wrapText="1"/>
    </xf>
    <xf numFmtId="169" fontId="8" fillId="0" borderId="0" xfId="0" applyNumberFormat="1" applyFont="1"/>
    <xf numFmtId="165" fontId="8" fillId="2" borderId="0" xfId="1" applyNumberFormat="1" applyFont="1" applyFill="1" applyAlignment="1">
      <alignment horizontal="center"/>
    </xf>
    <xf numFmtId="0" fontId="38" fillId="9" borderId="0" xfId="0" applyFont="1" applyFill="1" applyBorder="1" applyAlignment="1">
      <alignment horizontal="center"/>
    </xf>
    <xf numFmtId="0" fontId="38" fillId="9" borderId="9" xfId="0" applyFont="1" applyFill="1" applyBorder="1" applyAlignment="1">
      <alignment horizontal="center"/>
    </xf>
    <xf numFmtId="0" fontId="0" fillId="0" borderId="0" xfId="0" applyFill="1" applyBorder="1"/>
    <xf numFmtId="0" fontId="0" fillId="5" borderId="10" xfId="0" applyFill="1" applyBorder="1"/>
    <xf numFmtId="0" fontId="0" fillId="5" borderId="10" xfId="0" applyFill="1" applyBorder="1" applyAlignment="1">
      <alignment horizontal="center"/>
    </xf>
    <xf numFmtId="166" fontId="1" fillId="12" borderId="10" xfId="2" applyNumberFormat="1" applyFont="1" applyFill="1" applyBorder="1"/>
    <xf numFmtId="166" fontId="1" fillId="5" borderId="10" xfId="2" applyNumberFormat="1" applyFont="1" applyFill="1" applyBorder="1"/>
    <xf numFmtId="0" fontId="1" fillId="0" borderId="0" xfId="0" applyFont="1" applyFill="1" applyBorder="1" applyAlignment="1">
      <alignment horizontal="center"/>
    </xf>
    <xf numFmtId="0" fontId="0" fillId="0" borderId="0" xfId="0" applyFill="1" applyBorder="1" applyAlignment="1">
      <alignment horizontal="center"/>
    </xf>
    <xf numFmtId="44" fontId="1" fillId="0" borderId="0" xfId="2" applyFont="1" applyFill="1" applyBorder="1"/>
    <xf numFmtId="9" fontId="1" fillId="0" borderId="0" xfId="0" applyNumberFormat="1" applyFont="1" applyFill="1" applyBorder="1"/>
    <xf numFmtId="0" fontId="1" fillId="0" borderId="0" xfId="0" applyFont="1" applyFill="1" applyBorder="1"/>
    <xf numFmtId="165" fontId="1" fillId="0" borderId="0" xfId="0" applyNumberFormat="1" applyFont="1" applyFill="1" applyBorder="1"/>
    <xf numFmtId="166" fontId="1" fillId="0" borderId="0" xfId="2" applyNumberFormat="1" applyFont="1" applyFill="1" applyBorder="1"/>
    <xf numFmtId="0" fontId="0" fillId="3" borderId="1" xfId="0" applyFill="1" applyBorder="1" applyAlignment="1">
      <alignment horizontal="center"/>
    </xf>
    <xf numFmtId="43" fontId="0" fillId="5" borderId="1" xfId="0" applyNumberFormat="1" applyFill="1" applyBorder="1"/>
    <xf numFmtId="0" fontId="8" fillId="0" borderId="0" xfId="0" applyFont="1" applyFill="1" applyBorder="1" applyAlignment="1" applyProtection="1">
      <alignment horizontal="right"/>
    </xf>
    <xf numFmtId="0" fontId="8" fillId="0" borderId="0" xfId="0" applyFont="1" applyFill="1" applyBorder="1" applyAlignment="1">
      <alignment horizontal="center" wrapText="1"/>
    </xf>
    <xf numFmtId="0" fontId="2" fillId="0" borderId="0" xfId="0" applyFont="1" applyFill="1" applyBorder="1" applyProtection="1"/>
    <xf numFmtId="165" fontId="1" fillId="0" borderId="0" xfId="1" applyNumberFormat="1" applyFont="1" applyFill="1" applyBorder="1"/>
    <xf numFmtId="170" fontId="1" fillId="0" borderId="0" xfId="1" applyNumberFormat="1" applyFont="1" applyFill="1" applyBorder="1"/>
    <xf numFmtId="165" fontId="1" fillId="0" borderId="0" xfId="0" applyNumberFormat="1" applyFont="1" applyFill="1" applyBorder="1" applyAlignment="1">
      <alignment horizontal="left" indent="1"/>
    </xf>
    <xf numFmtId="170" fontId="1" fillId="0" borderId="0" xfId="0" applyNumberFormat="1" applyFont="1" applyFill="1" applyBorder="1" applyAlignment="1">
      <alignment horizontal="left" indent="1"/>
    </xf>
    <xf numFmtId="44" fontId="1" fillId="0" borderId="8" xfId="2" applyFont="1" applyFill="1" applyBorder="1"/>
    <xf numFmtId="0" fontId="0" fillId="0" borderId="8" xfId="0" applyFill="1" applyBorder="1"/>
    <xf numFmtId="0" fontId="35" fillId="9" borderId="5" xfId="0" applyFont="1" applyFill="1" applyBorder="1" applyAlignment="1">
      <alignment horizontal="left"/>
    </xf>
    <xf numFmtId="0" fontId="41" fillId="0" borderId="0" xfId="0" applyFont="1" applyFill="1" applyAlignment="1">
      <alignment wrapText="1"/>
    </xf>
    <xf numFmtId="0" fontId="23" fillId="0" borderId="0" xfId="0" applyFont="1" applyFill="1" applyAlignment="1">
      <alignment wrapText="1"/>
    </xf>
    <xf numFmtId="0" fontId="0" fillId="5" borderId="1" xfId="0" applyFill="1" applyBorder="1" applyAlignment="1">
      <alignment horizontal="left" indent="1"/>
    </xf>
    <xf numFmtId="2" fontId="8" fillId="5" borderId="1" xfId="0" applyNumberFormat="1" applyFont="1" applyFill="1" applyBorder="1"/>
    <xf numFmtId="0" fontId="8" fillId="5" borderId="1" xfId="0" applyFont="1" applyFill="1" applyBorder="1" applyAlignment="1">
      <alignment horizontal="left" indent="1"/>
    </xf>
    <xf numFmtId="2" fontId="8" fillId="12" borderId="1" xfId="0" applyNumberFormat="1" applyFont="1" applyFill="1" applyBorder="1"/>
    <xf numFmtId="0" fontId="8" fillId="12" borderId="1" xfId="0" applyFont="1" applyFill="1" applyBorder="1"/>
    <xf numFmtId="10" fontId="0" fillId="0" borderId="0" xfId="3" applyNumberFormat="1" applyFont="1"/>
    <xf numFmtId="167" fontId="8" fillId="12" borderId="1" xfId="0" applyNumberFormat="1" applyFont="1" applyFill="1" applyBorder="1"/>
    <xf numFmtId="169" fontId="8" fillId="12" borderId="1" xfId="0" applyNumberFormat="1" applyFont="1" applyFill="1" applyBorder="1"/>
    <xf numFmtId="0" fontId="0" fillId="5" borderId="1" xfId="0" applyFill="1" applyBorder="1" applyAlignment="1">
      <alignment horizontal="right"/>
    </xf>
    <xf numFmtId="167" fontId="8" fillId="5" borderId="1" xfId="0" applyNumberFormat="1" applyFont="1" applyFill="1" applyBorder="1"/>
    <xf numFmtId="0" fontId="8" fillId="5" borderId="1" xfId="0" applyFont="1" applyFill="1" applyBorder="1" applyAlignment="1"/>
    <xf numFmtId="0" fontId="0" fillId="3" borderId="1" xfId="0" applyFill="1" applyBorder="1" applyAlignment="1">
      <alignment horizontal="center" wrapText="1"/>
    </xf>
    <xf numFmtId="0" fontId="0" fillId="5" borderId="0" xfId="0" applyFill="1" applyAlignment="1">
      <alignment horizontal="center" wrapText="1"/>
    </xf>
    <xf numFmtId="0" fontId="8" fillId="5" borderId="1" xfId="0" applyFont="1" applyFill="1" applyBorder="1" applyAlignment="1">
      <alignment horizontal="center" wrapText="1"/>
    </xf>
    <xf numFmtId="0" fontId="8" fillId="5" borderId="1" xfId="0" applyFont="1" applyFill="1" applyBorder="1" applyAlignment="1">
      <alignment horizontal="right" indent="1"/>
    </xf>
    <xf numFmtId="2" fontId="0" fillId="5" borderId="1" xfId="0" applyNumberFormat="1" applyFill="1" applyBorder="1"/>
    <xf numFmtId="1" fontId="0" fillId="5" borderId="1" xfId="0" applyNumberFormat="1" applyFill="1" applyBorder="1"/>
    <xf numFmtId="0" fontId="8" fillId="5" borderId="1" xfId="0" applyFont="1" applyFill="1" applyBorder="1" applyAlignment="1">
      <alignment horizontal="right"/>
    </xf>
    <xf numFmtId="165" fontId="1" fillId="12" borderId="1" xfId="0" applyNumberFormat="1" applyFont="1" applyFill="1" applyBorder="1" applyAlignment="1">
      <alignment horizontal="center"/>
    </xf>
    <xf numFmtId="165" fontId="1" fillId="12" borderId="1" xfId="1" applyNumberFormat="1" applyFont="1" applyFill="1" applyBorder="1" applyAlignment="1">
      <alignment horizontal="center"/>
    </xf>
    <xf numFmtId="165" fontId="0" fillId="12" borderId="1" xfId="1" applyNumberFormat="1" applyFont="1" applyFill="1" applyBorder="1" applyAlignment="1">
      <alignment horizontal="center"/>
    </xf>
    <xf numFmtId="0" fontId="8" fillId="12" borderId="1" xfId="0" applyFont="1" applyFill="1" applyBorder="1" applyAlignment="1">
      <alignment horizontal="center"/>
    </xf>
    <xf numFmtId="165" fontId="1" fillId="12" borderId="0" xfId="0" applyNumberFormat="1" applyFont="1" applyFill="1"/>
    <xf numFmtId="0" fontId="23" fillId="9" borderId="16" xfId="0" applyFont="1" applyFill="1" applyBorder="1" applyAlignment="1">
      <alignment wrapText="1"/>
    </xf>
    <xf numFmtId="0" fontId="23" fillId="9" borderId="17" xfId="0" applyFont="1" applyFill="1" applyBorder="1" applyAlignment="1">
      <alignment wrapText="1"/>
    </xf>
    <xf numFmtId="0" fontId="23" fillId="9" borderId="0" xfId="0" applyFont="1" applyFill="1" applyBorder="1" applyAlignment="1">
      <alignment wrapText="1"/>
    </xf>
    <xf numFmtId="0" fontId="23" fillId="9" borderId="18" xfId="0" applyFont="1" applyFill="1" applyBorder="1" applyAlignment="1">
      <alignment wrapText="1"/>
    </xf>
    <xf numFmtId="0" fontId="23" fillId="9" borderId="17" xfId="0" applyFont="1" applyFill="1" applyBorder="1" applyAlignment="1">
      <alignment horizontal="center" wrapText="1"/>
    </xf>
    <xf numFmtId="0" fontId="23" fillId="9" borderId="0" xfId="0" applyFont="1" applyFill="1" applyBorder="1" applyAlignment="1">
      <alignment horizontal="center" wrapText="1"/>
    </xf>
    <xf numFmtId="0" fontId="41" fillId="9" borderId="20" xfId="0" applyFont="1" applyFill="1" applyBorder="1" applyAlignment="1">
      <alignment wrapText="1"/>
    </xf>
    <xf numFmtId="0" fontId="23" fillId="9" borderId="21" xfId="0" applyFont="1" applyFill="1" applyBorder="1" applyAlignment="1">
      <alignment wrapText="1"/>
    </xf>
    <xf numFmtId="0" fontId="0" fillId="9" borderId="17" xfId="0" applyFill="1" applyBorder="1" applyAlignment="1">
      <alignment horizontal="center"/>
    </xf>
    <xf numFmtId="0" fontId="0" fillId="9" borderId="18" xfId="0" applyFill="1" applyBorder="1"/>
    <xf numFmtId="0" fontId="0" fillId="9" borderId="19" xfId="0" applyFill="1" applyBorder="1" applyAlignment="1">
      <alignment horizontal="left"/>
    </xf>
    <xf numFmtId="0" fontId="35" fillId="9" borderId="20" xfId="0" applyFont="1" applyFill="1" applyBorder="1" applyAlignment="1">
      <alignment horizontal="left"/>
    </xf>
    <xf numFmtId="0" fontId="0" fillId="9" borderId="20" xfId="0" applyFill="1" applyBorder="1"/>
    <xf numFmtId="0" fontId="0" fillId="9" borderId="21" xfId="0" applyFill="1" applyBorder="1"/>
    <xf numFmtId="0" fontId="38" fillId="9" borderId="17" xfId="0" applyFont="1" applyFill="1" applyBorder="1" applyAlignment="1">
      <alignment horizontal="center"/>
    </xf>
    <xf numFmtId="0" fontId="38" fillId="9" borderId="18" xfId="0" applyFont="1" applyFill="1" applyBorder="1" applyAlignment="1">
      <alignment horizontal="center"/>
    </xf>
    <xf numFmtId="0" fontId="3" fillId="9" borderId="17" xfId="0" applyFont="1" applyFill="1" applyBorder="1" applyAlignment="1">
      <alignment wrapText="1"/>
    </xf>
    <xf numFmtId="0" fontId="3" fillId="9" borderId="0" xfId="0" applyFont="1" applyFill="1" applyBorder="1" applyAlignment="1">
      <alignment wrapText="1"/>
    </xf>
    <xf numFmtId="0" fontId="3" fillId="9" borderId="18" xfId="0" applyFont="1" applyFill="1" applyBorder="1" applyAlignment="1">
      <alignment wrapText="1"/>
    </xf>
    <xf numFmtId="0" fontId="53" fillId="9" borderId="19" xfId="0" applyFont="1" applyFill="1" applyBorder="1" applyAlignment="1">
      <alignment horizontal="left" wrapText="1"/>
    </xf>
    <xf numFmtId="0" fontId="3" fillId="9" borderId="20" xfId="0" applyFont="1" applyFill="1" applyBorder="1" applyAlignment="1">
      <alignment horizontal="left" wrapText="1"/>
    </xf>
    <xf numFmtId="0" fontId="3" fillId="9" borderId="21" xfId="0" applyFont="1" applyFill="1" applyBorder="1" applyAlignment="1">
      <alignment horizontal="left" wrapText="1"/>
    </xf>
    <xf numFmtId="0" fontId="53" fillId="0" borderId="0" xfId="0" applyFont="1" applyFill="1" applyBorder="1" applyAlignment="1">
      <alignment horizontal="left" wrapText="1"/>
    </xf>
    <xf numFmtId="0" fontId="3" fillId="0" borderId="0" xfId="0" applyFont="1" applyFill="1" applyBorder="1" applyAlignment="1">
      <alignment horizontal="left" wrapText="1"/>
    </xf>
    <xf numFmtId="0" fontId="1" fillId="5" borderId="1" xfId="0" applyFont="1" applyFill="1" applyBorder="1" applyAlignment="1">
      <alignment horizontal="center" wrapText="1"/>
    </xf>
    <xf numFmtId="1" fontId="0" fillId="5" borderId="1" xfId="0" applyNumberFormat="1" applyFill="1" applyBorder="1" applyAlignment="1">
      <alignment horizontal="center"/>
    </xf>
    <xf numFmtId="1" fontId="0" fillId="5" borderId="1" xfId="0" applyNumberFormat="1" applyFill="1" applyBorder="1" applyAlignment="1">
      <alignment horizontal="right"/>
    </xf>
    <xf numFmtId="165" fontId="0" fillId="5" borderId="1" xfId="1" applyNumberFormat="1" applyFont="1" applyFill="1" applyBorder="1" applyAlignment="1">
      <alignment horizontal="center"/>
    </xf>
    <xf numFmtId="165" fontId="8" fillId="12" borderId="1" xfId="0" applyNumberFormat="1" applyFont="1" applyFill="1" applyBorder="1"/>
    <xf numFmtId="9" fontId="26" fillId="12" borderId="1" xfId="3" applyFont="1" applyFill="1" applyBorder="1"/>
    <xf numFmtId="0" fontId="2" fillId="12" borderId="1" xfId="0" applyFont="1" applyFill="1" applyBorder="1"/>
    <xf numFmtId="168" fontId="8" fillId="5" borderId="1" xfId="0" applyNumberFormat="1" applyFont="1" applyFill="1" applyBorder="1"/>
    <xf numFmtId="0" fontId="2" fillId="2" borderId="1" xfId="0" applyFont="1" applyFill="1" applyBorder="1"/>
    <xf numFmtId="168" fontId="8" fillId="12" borderId="1" xfId="0" applyNumberFormat="1" applyFont="1" applyFill="1" applyBorder="1"/>
    <xf numFmtId="0" fontId="2" fillId="3" borderId="1" xfId="0" applyFont="1" applyFill="1" applyBorder="1"/>
    <xf numFmtId="43" fontId="8" fillId="12" borderId="1" xfId="0" applyNumberFormat="1" applyFont="1" applyFill="1" applyBorder="1"/>
    <xf numFmtId="0" fontId="2" fillId="4" borderId="1" xfId="0" applyFont="1" applyFill="1" applyBorder="1"/>
    <xf numFmtId="2" fontId="0" fillId="0" borderId="1" xfId="0" applyNumberFormat="1" applyBorder="1"/>
    <xf numFmtId="0" fontId="27" fillId="5" borderId="1" xfId="0" applyFont="1" applyFill="1" applyBorder="1"/>
    <xf numFmtId="0" fontId="23" fillId="5" borderId="1" xfId="0" applyFont="1" applyFill="1" applyBorder="1"/>
    <xf numFmtId="2" fontId="0" fillId="9" borderId="1" xfId="0" applyNumberFormat="1" applyFill="1" applyBorder="1"/>
    <xf numFmtId="0" fontId="0" fillId="9" borderId="1" xfId="0" applyFill="1" applyBorder="1"/>
    <xf numFmtId="43" fontId="0" fillId="9" borderId="1" xfId="1" applyNumberFormat="1" applyFont="1" applyFill="1" applyBorder="1"/>
    <xf numFmtId="1" fontId="8" fillId="9" borderId="1" xfId="0" applyNumberFormat="1" applyFont="1" applyFill="1" applyBorder="1"/>
    <xf numFmtId="165" fontId="0" fillId="9" borderId="1" xfId="1" applyNumberFormat="1" applyFont="1" applyFill="1" applyBorder="1"/>
    <xf numFmtId="167" fontId="0" fillId="9" borderId="1" xfId="0" applyNumberFormat="1" applyFill="1" applyBorder="1"/>
    <xf numFmtId="0" fontId="1" fillId="0" borderId="10" xfId="0" applyFont="1" applyFill="1" applyBorder="1" applyAlignment="1" applyProtection="1">
      <alignment horizontal="center"/>
    </xf>
    <xf numFmtId="165" fontId="8" fillId="0" borderId="0" xfId="0" applyNumberFormat="1" applyFont="1" applyFill="1" applyBorder="1"/>
    <xf numFmtId="0" fontId="0" fillId="0" borderId="0" xfId="0" applyFill="1" applyBorder="1" applyAlignment="1">
      <alignment horizontal="right"/>
    </xf>
    <xf numFmtId="43" fontId="0" fillId="0" borderId="0" xfId="0" applyNumberFormat="1" applyFill="1" applyBorder="1"/>
    <xf numFmtId="0" fontId="8" fillId="0" borderId="0" xfId="0" applyFont="1" applyFill="1" applyBorder="1" applyAlignment="1">
      <alignment horizontal="right" indent="1"/>
    </xf>
    <xf numFmtId="165" fontId="8" fillId="0" borderId="0" xfId="1" applyNumberFormat="1" applyFont="1" applyFill="1" applyBorder="1"/>
    <xf numFmtId="1" fontId="0" fillId="12" borderId="1" xfId="0" applyNumberFormat="1" applyFill="1" applyBorder="1"/>
    <xf numFmtId="0" fontId="0" fillId="3" borderId="10" xfId="0" applyFill="1" applyBorder="1"/>
    <xf numFmtId="9" fontId="0" fillId="3" borderId="11" xfId="3" applyFont="1" applyFill="1" applyBorder="1" applyAlignment="1">
      <alignment horizontal="center"/>
    </xf>
    <xf numFmtId="0" fontId="0" fillId="3" borderId="12" xfId="0" applyFill="1" applyBorder="1"/>
    <xf numFmtId="9" fontId="0" fillId="3" borderId="10" xfId="3" applyFont="1" applyFill="1" applyBorder="1" applyAlignment="1">
      <alignment horizontal="center"/>
    </xf>
    <xf numFmtId="9" fontId="8" fillId="12" borderId="1" xfId="3" applyFont="1" applyFill="1" applyBorder="1"/>
    <xf numFmtId="0" fontId="0" fillId="3" borderId="11" xfId="0" applyFill="1" applyBorder="1"/>
    <xf numFmtId="0" fontId="8" fillId="5" borderId="13" xfId="0" applyFont="1" applyFill="1" applyBorder="1" applyAlignment="1">
      <alignment horizontal="center" wrapText="1"/>
    </xf>
    <xf numFmtId="9" fontId="8" fillId="12" borderId="1" xfId="0" applyNumberFormat="1" applyFont="1" applyFill="1" applyBorder="1"/>
    <xf numFmtId="165" fontId="8" fillId="2" borderId="5" xfId="1" applyNumberFormat="1" applyFont="1" applyFill="1" applyBorder="1" applyAlignment="1">
      <alignment horizontal="center"/>
    </xf>
    <xf numFmtId="0" fontId="8" fillId="2" borderId="7" xfId="0" applyFont="1" applyFill="1" applyBorder="1" applyAlignment="1">
      <alignment horizontal="center"/>
    </xf>
    <xf numFmtId="165" fontId="8" fillId="4" borderId="5" xfId="1" applyNumberFormat="1" applyFont="1" applyFill="1" applyBorder="1" applyAlignment="1"/>
    <xf numFmtId="43" fontId="8" fillId="4" borderId="7" xfId="1" applyFont="1" applyFill="1" applyBorder="1" applyAlignment="1"/>
    <xf numFmtId="44" fontId="0" fillId="0" borderId="0" xfId="0" applyNumberFormat="1"/>
    <xf numFmtId="172" fontId="0" fillId="0" borderId="0" xfId="0" applyNumberFormat="1"/>
    <xf numFmtId="166" fontId="8" fillId="9" borderId="0" xfId="0" applyNumberFormat="1" applyFont="1" applyFill="1"/>
    <xf numFmtId="2" fontId="8" fillId="0" borderId="0" xfId="0" applyNumberFormat="1" applyFont="1" applyFill="1" applyBorder="1"/>
    <xf numFmtId="0" fontId="0" fillId="5" borderId="11" xfId="0" applyFill="1" applyBorder="1"/>
    <xf numFmtId="0" fontId="0" fillId="5" borderId="12" xfId="0" applyFill="1" applyBorder="1"/>
    <xf numFmtId="167" fontId="0" fillId="0" borderId="0" xfId="0" applyNumberFormat="1" applyAlignment="1">
      <alignment horizontal="center" wrapText="1"/>
    </xf>
    <xf numFmtId="174" fontId="0" fillId="0" borderId="0" xfId="0" applyNumberFormat="1"/>
    <xf numFmtId="0" fontId="8" fillId="5" borderId="10" xfId="0" applyFont="1" applyFill="1" applyBorder="1"/>
    <xf numFmtId="1" fontId="8" fillId="12" borderId="10" xfId="0" applyNumberFormat="1" applyFont="1" applyFill="1" applyBorder="1"/>
    <xf numFmtId="173" fontId="0" fillId="0" borderId="0" xfId="0" applyNumberFormat="1"/>
    <xf numFmtId="175" fontId="0" fillId="0" borderId="0" xfId="0" applyNumberFormat="1"/>
    <xf numFmtId="169" fontId="0" fillId="0" borderId="0" xfId="0" applyNumberFormat="1" applyFont="1" applyAlignment="1">
      <alignment horizontal="center"/>
    </xf>
    <xf numFmtId="0" fontId="0" fillId="3" borderId="1" xfId="0" applyFill="1" applyBorder="1" applyAlignment="1"/>
    <xf numFmtId="0" fontId="0" fillId="3" borderId="1" xfId="0" applyFont="1" applyFill="1" applyBorder="1" applyAlignment="1">
      <alignment horizontal="center"/>
    </xf>
    <xf numFmtId="0" fontId="0" fillId="3" borderId="1" xfId="0" applyFont="1" applyFill="1" applyBorder="1" applyAlignment="1">
      <alignment horizontal="center" wrapText="1"/>
    </xf>
    <xf numFmtId="0" fontId="0" fillId="3" borderId="1" xfId="0" applyFill="1" applyBorder="1" applyAlignment="1">
      <alignment wrapText="1"/>
    </xf>
    <xf numFmtId="0" fontId="0" fillId="0" borderId="1" xfId="0" applyBorder="1" applyAlignment="1"/>
    <xf numFmtId="0" fontId="0" fillId="0" borderId="1" xfId="0" applyFont="1" applyBorder="1" applyAlignment="1">
      <alignment horizontal="center"/>
    </xf>
    <xf numFmtId="0" fontId="0" fillId="0" borderId="1" xfId="0" applyFont="1" applyBorder="1" applyAlignment="1">
      <alignment horizontal="center" wrapText="1"/>
    </xf>
    <xf numFmtId="2" fontId="0" fillId="0" borderId="1" xfId="0" applyNumberFormat="1" applyBorder="1" applyAlignment="1">
      <alignment horizontal="right" wrapText="1"/>
    </xf>
    <xf numFmtId="1" fontId="0" fillId="0" borderId="1" xfId="0" applyNumberFormat="1" applyBorder="1"/>
    <xf numFmtId="0" fontId="2" fillId="0" borderId="0" xfId="0" applyFont="1" applyFill="1" applyAlignment="1"/>
    <xf numFmtId="0" fontId="28" fillId="3" borderId="1" xfId="0" applyFont="1" applyFill="1" applyBorder="1"/>
    <xf numFmtId="166" fontId="8" fillId="12" borderId="1" xfId="0" applyNumberFormat="1" applyFont="1" applyFill="1" applyBorder="1"/>
    <xf numFmtId="166" fontId="1" fillId="12" borderId="1" xfId="0" applyNumberFormat="1" applyFont="1" applyFill="1" applyBorder="1"/>
    <xf numFmtId="166" fontId="1" fillId="5" borderId="1" xfId="0" applyNumberFormat="1" applyFont="1" applyFill="1" applyBorder="1"/>
    <xf numFmtId="9" fontId="1" fillId="12" borderId="12" xfId="0" applyNumberFormat="1" applyFont="1" applyFill="1" applyBorder="1"/>
    <xf numFmtId="0" fontId="1" fillId="5" borderId="1" xfId="0" applyFont="1" applyFill="1" applyBorder="1" applyAlignment="1">
      <alignment horizontal="right"/>
    </xf>
    <xf numFmtId="166" fontId="1" fillId="12" borderId="1" xfId="2" applyNumberFormat="1" applyFont="1" applyFill="1" applyBorder="1" applyAlignment="1">
      <alignment horizontal="right"/>
    </xf>
    <xf numFmtId="44" fontId="0" fillId="0" borderId="0" xfId="0" applyNumberFormat="1" applyFill="1"/>
    <xf numFmtId="165" fontId="0" fillId="0" borderId="0" xfId="1" applyNumberFormat="1" applyFont="1" applyFill="1" applyAlignment="1">
      <alignment horizontal="center"/>
    </xf>
    <xf numFmtId="166" fontId="0" fillId="0" borderId="0" xfId="2" applyNumberFormat="1" applyFont="1" applyFill="1" applyAlignment="1">
      <alignment horizontal="center"/>
    </xf>
    <xf numFmtId="165" fontId="0" fillId="5" borderId="1" xfId="0" applyNumberFormat="1" applyFill="1" applyBorder="1" applyAlignment="1">
      <alignment horizontal="center" wrapText="1"/>
    </xf>
    <xf numFmtId="166" fontId="8" fillId="12" borderId="1" xfId="2" applyNumberFormat="1" applyFont="1" applyFill="1" applyBorder="1"/>
    <xf numFmtId="0" fontId="0" fillId="8" borderId="0" xfId="0" applyFill="1" applyAlignment="1">
      <alignment horizontal="left" indent="1"/>
    </xf>
    <xf numFmtId="166" fontId="0" fillId="0" borderId="0" xfId="2" applyNumberFormat="1" applyFont="1" applyAlignment="1">
      <alignment horizontal="left" indent="1"/>
    </xf>
    <xf numFmtId="0" fontId="8" fillId="5" borderId="10" xfId="0" applyFont="1" applyFill="1" applyBorder="1" applyAlignment="1">
      <alignment horizontal="center"/>
    </xf>
    <xf numFmtId="165" fontId="8" fillId="12" borderId="10" xfId="0" applyNumberFormat="1" applyFont="1" applyFill="1" applyBorder="1"/>
    <xf numFmtId="170" fontId="8" fillId="12" borderId="10" xfId="0" applyNumberFormat="1" applyFont="1" applyFill="1" applyBorder="1"/>
    <xf numFmtId="166" fontId="0" fillId="0" borderId="0" xfId="2" applyNumberFormat="1" applyFont="1" applyFill="1"/>
    <xf numFmtId="0" fontId="1" fillId="5" borderId="22" xfId="0" applyFont="1" applyFill="1" applyBorder="1" applyAlignment="1">
      <alignment horizontal="center" wrapText="1"/>
    </xf>
    <xf numFmtId="166" fontId="2" fillId="12" borderId="23" xfId="0" applyNumberFormat="1" applyFont="1" applyFill="1" applyBorder="1" applyAlignment="1">
      <alignment horizontal="right"/>
    </xf>
    <xf numFmtId="0" fontId="0" fillId="5" borderId="1" xfId="0" applyFont="1" applyFill="1" applyBorder="1" applyAlignment="1">
      <alignment horizontal="left" indent="1"/>
    </xf>
    <xf numFmtId="2" fontId="8" fillId="5" borderId="1" xfId="0" applyNumberFormat="1" applyFont="1" applyFill="1" applyBorder="1" applyAlignment="1">
      <alignment horizontal="right"/>
    </xf>
    <xf numFmtId="166" fontId="25" fillId="17" borderId="23" xfId="0" applyNumberFormat="1" applyFont="1" applyFill="1" applyBorder="1" applyAlignment="1">
      <alignment horizontal="right"/>
    </xf>
    <xf numFmtId="0" fontId="0" fillId="5" borderId="1" xfId="0" applyFill="1" applyBorder="1" applyAlignment="1">
      <alignment horizontal="center" vertical="top" wrapText="1"/>
    </xf>
    <xf numFmtId="44" fontId="0" fillId="5" borderId="1" xfId="0" applyNumberFormat="1" applyFill="1" applyBorder="1"/>
    <xf numFmtId="44" fontId="1" fillId="12" borderId="1" xfId="2" applyNumberFormat="1" applyFont="1" applyFill="1" applyBorder="1"/>
    <xf numFmtId="44" fontId="1" fillId="5" borderId="1" xfId="2" applyNumberFormat="1" applyFont="1" applyFill="1" applyBorder="1"/>
    <xf numFmtId="165" fontId="0" fillId="0" borderId="0" xfId="0" applyNumberFormat="1" applyAlignment="1">
      <alignment horizontal="center"/>
    </xf>
    <xf numFmtId="2" fontId="0" fillId="0" borderId="0" xfId="0" applyNumberFormat="1" applyFont="1"/>
    <xf numFmtId="0" fontId="19" fillId="15" borderId="8" xfId="0" applyFont="1" applyFill="1" applyBorder="1" applyAlignment="1">
      <alignment horizontal="center"/>
    </xf>
    <xf numFmtId="0" fontId="19" fillId="15" borderId="0" xfId="0" applyFont="1" applyFill="1" applyBorder="1" applyAlignment="1">
      <alignment horizontal="center"/>
    </xf>
    <xf numFmtId="0" fontId="34" fillId="15" borderId="8" xfId="0" applyFont="1" applyFill="1" applyBorder="1" applyAlignment="1">
      <alignment horizontal="left"/>
    </xf>
    <xf numFmtId="0" fontId="34" fillId="15" borderId="0" xfId="0" applyFont="1" applyFill="1" applyBorder="1" applyAlignment="1">
      <alignment horizontal="left"/>
    </xf>
    <xf numFmtId="0" fontId="34" fillId="15" borderId="9" xfId="0" applyFont="1" applyFill="1" applyBorder="1" applyAlignment="1">
      <alignment horizontal="left"/>
    </xf>
    <xf numFmtId="0" fontId="0" fillId="0" borderId="0" xfId="0" applyAlignment="1">
      <alignment wrapText="1"/>
    </xf>
    <xf numFmtId="0" fontId="8" fillId="0" borderId="0" xfId="0" applyFont="1" applyFill="1" applyBorder="1"/>
    <xf numFmtId="165" fontId="0" fillId="0" borderId="0" xfId="3" applyNumberFormat="1" applyFont="1"/>
    <xf numFmtId="165" fontId="8" fillId="5" borderId="1" xfId="0" applyNumberFormat="1" applyFont="1" applyFill="1" applyBorder="1" applyAlignment="1">
      <alignment horizontal="center"/>
    </xf>
    <xf numFmtId="44" fontId="8" fillId="0" borderId="0" xfId="0" applyNumberFormat="1" applyFont="1" applyFill="1" applyBorder="1"/>
    <xf numFmtId="44" fontId="0" fillId="0" borderId="0" xfId="0" applyNumberFormat="1" applyFill="1" applyBorder="1"/>
    <xf numFmtId="44" fontId="0" fillId="0" borderId="0" xfId="0" applyNumberFormat="1" applyFill="1" applyBorder="1" applyAlignment="1">
      <alignment horizontal="right"/>
    </xf>
    <xf numFmtId="9" fontId="8" fillId="0" borderId="0" xfId="3" applyFont="1" applyFill="1" applyBorder="1"/>
    <xf numFmtId="0" fontId="19" fillId="0" borderId="9" xfId="0" applyFont="1" applyFill="1" applyBorder="1" applyAlignment="1">
      <alignment horizontal="center"/>
    </xf>
    <xf numFmtId="0" fontId="19" fillId="0" borderId="0" xfId="0" applyFont="1" applyFill="1" applyBorder="1" applyAlignment="1">
      <alignment horizontal="center"/>
    </xf>
    <xf numFmtId="1" fontId="1" fillId="13" borderId="1" xfId="0" applyNumberFormat="1" applyFont="1" applyFill="1" applyBorder="1" applyProtection="1">
      <protection locked="0"/>
    </xf>
    <xf numFmtId="10" fontId="1" fillId="13" borderId="1" xfId="3" applyNumberFormat="1" applyFont="1" applyFill="1" applyBorder="1" applyProtection="1">
      <protection locked="0"/>
    </xf>
    <xf numFmtId="0" fontId="20" fillId="13" borderId="1" xfId="0" applyFont="1" applyFill="1" applyBorder="1" applyProtection="1">
      <protection locked="0"/>
    </xf>
    <xf numFmtId="0" fontId="21" fillId="13" borderId="1" xfId="0" applyFont="1" applyFill="1" applyBorder="1" applyProtection="1">
      <protection locked="0"/>
    </xf>
    <xf numFmtId="0" fontId="1" fillId="13" borderId="1" xfId="0" applyFont="1" applyFill="1" applyBorder="1" applyProtection="1">
      <protection locked="0"/>
    </xf>
    <xf numFmtId="0" fontId="20" fillId="12" borderId="1" xfId="0" applyFont="1" applyFill="1" applyBorder="1" applyProtection="1"/>
    <xf numFmtId="0" fontId="27" fillId="0" borderId="0" xfId="0" applyFont="1" applyFill="1" applyBorder="1"/>
    <xf numFmtId="0" fontId="23" fillId="0" borderId="0" xfId="0" applyFont="1" applyFill="1" applyBorder="1"/>
    <xf numFmtId="0" fontId="8" fillId="0" borderId="0" xfId="0" applyFont="1" applyFill="1" applyBorder="1" applyAlignment="1">
      <alignment horizontal="center"/>
    </xf>
    <xf numFmtId="0" fontId="0" fillId="0" borderId="0" xfId="0" applyFill="1" applyBorder="1" applyAlignment="1">
      <alignment horizontal="left" indent="1"/>
    </xf>
    <xf numFmtId="2" fontId="0" fillId="0" borderId="0" xfId="0" applyNumberFormat="1" applyFill="1" applyBorder="1"/>
    <xf numFmtId="43" fontId="0" fillId="0" borderId="0" xfId="1" applyNumberFormat="1" applyFont="1" applyFill="1" applyBorder="1"/>
    <xf numFmtId="1" fontId="8" fillId="0" borderId="0" xfId="0" applyNumberFormat="1" applyFont="1" applyFill="1" applyBorder="1"/>
    <xf numFmtId="0" fontId="8" fillId="0" borderId="0" xfId="0" applyFont="1" applyFill="1" applyBorder="1" applyAlignment="1">
      <alignment horizontal="left" indent="1"/>
    </xf>
    <xf numFmtId="165" fontId="0" fillId="0" borderId="0" xfId="1" applyNumberFormat="1" applyFont="1" applyFill="1" applyBorder="1"/>
    <xf numFmtId="0" fontId="8" fillId="0" borderId="0" xfId="0" applyFont="1" applyFill="1" applyBorder="1" applyAlignment="1"/>
    <xf numFmtId="167" fontId="0" fillId="0" borderId="0" xfId="0" applyNumberFormat="1" applyFill="1" applyBorder="1"/>
    <xf numFmtId="0" fontId="19" fillId="15" borderId="8" xfId="0" applyFont="1" applyFill="1" applyBorder="1" applyAlignment="1">
      <alignment horizontal="center"/>
    </xf>
    <xf numFmtId="0" fontId="19" fillId="15" borderId="0" xfId="0" applyFont="1" applyFill="1" applyBorder="1" applyAlignment="1">
      <alignment horizontal="center"/>
    </xf>
    <xf numFmtId="0" fontId="19" fillId="15" borderId="9" xfId="0" applyFont="1" applyFill="1" applyBorder="1" applyAlignment="1">
      <alignment horizontal="center"/>
    </xf>
    <xf numFmtId="0" fontId="38" fillId="15" borderId="2" xfId="0" applyFont="1" applyFill="1" applyBorder="1" applyAlignment="1">
      <alignment horizontal="center"/>
    </xf>
    <xf numFmtId="0" fontId="38" fillId="15" borderId="3" xfId="0" applyFont="1" applyFill="1" applyBorder="1" applyAlignment="1">
      <alignment horizontal="center"/>
    </xf>
    <xf numFmtId="0" fontId="38" fillId="15" borderId="4" xfId="0" applyFont="1" applyFill="1" applyBorder="1" applyAlignment="1">
      <alignment horizontal="center"/>
    </xf>
    <xf numFmtId="0" fontId="34" fillId="16" borderId="1" xfId="0" applyFont="1" applyFill="1" applyBorder="1" applyProtection="1"/>
    <xf numFmtId="0" fontId="0" fillId="0" borderId="6" xfId="0" applyBorder="1" applyAlignment="1">
      <alignment horizontal="center"/>
    </xf>
    <xf numFmtId="0" fontId="1" fillId="15" borderId="8" xfId="0" applyFont="1" applyFill="1" applyBorder="1" applyAlignment="1">
      <alignment horizontal="left" wrapText="1"/>
    </xf>
    <xf numFmtId="0" fontId="1" fillId="15" borderId="0" xfId="0" applyFont="1" applyFill="1" applyBorder="1" applyAlignment="1">
      <alignment horizontal="left" wrapText="1"/>
    </xf>
    <xf numFmtId="0" fontId="1" fillId="15" borderId="9" xfId="0" applyFont="1" applyFill="1" applyBorder="1" applyAlignment="1">
      <alignment horizontal="left" wrapText="1"/>
    </xf>
    <xf numFmtId="0" fontId="34" fillId="15" borderId="8" xfId="0" applyFont="1" applyFill="1" applyBorder="1" applyAlignment="1">
      <alignment horizontal="left"/>
    </xf>
    <xf numFmtId="0" fontId="34" fillId="15" borderId="0" xfId="0" applyFont="1" applyFill="1" applyBorder="1" applyAlignment="1">
      <alignment horizontal="left"/>
    </xf>
    <xf numFmtId="0" fontId="34" fillId="15" borderId="9" xfId="0" applyFont="1" applyFill="1" applyBorder="1" applyAlignment="1">
      <alignment horizontal="left"/>
    </xf>
    <xf numFmtId="0" fontId="2" fillId="0" borderId="0" xfId="0" applyFont="1" applyAlignment="1" applyProtection="1">
      <alignment horizontal="center"/>
    </xf>
    <xf numFmtId="0" fontId="34" fillId="15" borderId="8" xfId="0" applyFont="1" applyFill="1" applyBorder="1" applyAlignment="1">
      <alignment horizontal="left" wrapText="1"/>
    </xf>
    <xf numFmtId="0" fontId="34" fillId="15" borderId="0" xfId="0" applyFont="1" applyFill="1" applyBorder="1" applyAlignment="1">
      <alignment horizontal="left" wrapText="1"/>
    </xf>
    <xf numFmtId="0" fontId="34" fillId="15" borderId="9" xfId="0" applyFont="1" applyFill="1" applyBorder="1" applyAlignment="1">
      <alignment horizontal="left" wrapText="1"/>
    </xf>
    <xf numFmtId="0" fontId="56" fillId="15" borderId="17" xfId="0" applyFont="1" applyFill="1" applyBorder="1" applyAlignment="1">
      <alignment horizontal="center"/>
    </xf>
    <xf numFmtId="0" fontId="57" fillId="15" borderId="0" xfId="0" applyFont="1" applyFill="1" applyBorder="1" applyAlignment="1">
      <alignment horizontal="center"/>
    </xf>
    <xf numFmtId="0" fontId="57" fillId="15" borderId="18" xfId="0" applyFont="1" applyFill="1" applyBorder="1" applyAlignment="1">
      <alignment horizontal="center"/>
    </xf>
    <xf numFmtId="0" fontId="0" fillId="4" borderId="1" xfId="0" applyFill="1" applyBorder="1" applyAlignment="1">
      <alignment wrapText="1"/>
    </xf>
    <xf numFmtId="0" fontId="1" fillId="5" borderId="1" xfId="0" applyFont="1" applyFill="1" applyBorder="1" applyAlignment="1">
      <alignment horizontal="center"/>
    </xf>
    <xf numFmtId="0" fontId="0" fillId="10" borderId="1" xfId="0" applyFill="1" applyBorder="1" applyAlignment="1">
      <alignment horizontal="center"/>
    </xf>
    <xf numFmtId="0" fontId="54" fillId="9" borderId="17" xfId="0" applyFont="1" applyFill="1" applyBorder="1" applyAlignment="1">
      <alignment horizontal="center"/>
    </xf>
    <xf numFmtId="0" fontId="44" fillId="9" borderId="0" xfId="0" applyFont="1" applyFill="1" applyBorder="1" applyAlignment="1">
      <alignment horizontal="center"/>
    </xf>
    <xf numFmtId="0" fontId="44" fillId="9" borderId="18" xfId="0" applyFont="1" applyFill="1" applyBorder="1" applyAlignment="1">
      <alignment horizontal="center"/>
    </xf>
    <xf numFmtId="0" fontId="1" fillId="5" borderId="10" xfId="0" applyFont="1" applyFill="1" applyBorder="1" applyAlignment="1">
      <alignment horizontal="left"/>
    </xf>
    <xf numFmtId="0" fontId="1" fillId="5" borderId="12" xfId="0" applyFont="1" applyFill="1" applyBorder="1" applyAlignment="1">
      <alignment horizontal="left"/>
    </xf>
    <xf numFmtId="0" fontId="0" fillId="4" borderId="10" xfId="0" applyFill="1" applyBorder="1" applyAlignment="1">
      <alignment horizontal="center" wrapText="1"/>
    </xf>
    <xf numFmtId="0" fontId="0" fillId="4" borderId="11" xfId="0" applyFill="1" applyBorder="1" applyAlignment="1">
      <alignment horizontal="center" wrapText="1"/>
    </xf>
    <xf numFmtId="0" fontId="0" fillId="4" borderId="12" xfId="0" applyFill="1" applyBorder="1" applyAlignment="1">
      <alignment horizontal="center" wrapText="1"/>
    </xf>
    <xf numFmtId="0" fontId="0" fillId="3" borderId="1" xfId="0" applyFill="1" applyBorder="1" applyAlignment="1">
      <alignment horizontal="center"/>
    </xf>
    <xf numFmtId="0" fontId="0" fillId="4" borderId="1" xfId="0" applyFill="1" applyBorder="1" applyAlignment="1">
      <alignment horizontal="center"/>
    </xf>
    <xf numFmtId="0" fontId="45" fillId="9" borderId="14" xfId="0" applyFont="1" applyFill="1" applyBorder="1" applyAlignment="1">
      <alignment horizontal="center"/>
    </xf>
    <xf numFmtId="0" fontId="45" fillId="9" borderId="15" xfId="0" applyFont="1" applyFill="1" applyBorder="1" applyAlignment="1">
      <alignment horizontal="center"/>
    </xf>
    <xf numFmtId="0" fontId="45" fillId="9" borderId="16" xfId="0" applyFont="1" applyFill="1" applyBorder="1" applyAlignment="1">
      <alignment horizontal="center"/>
    </xf>
    <xf numFmtId="0" fontId="34" fillId="9" borderId="17" xfId="0" applyFont="1" applyFill="1" applyBorder="1" applyAlignment="1">
      <alignment horizontal="left" wrapText="1"/>
    </xf>
    <xf numFmtId="0" fontId="34" fillId="9" borderId="0" xfId="0" applyFont="1" applyFill="1" applyBorder="1" applyAlignment="1">
      <alignment horizontal="left" wrapText="1"/>
    </xf>
    <xf numFmtId="0" fontId="34" fillId="9" borderId="18" xfId="0" applyFont="1" applyFill="1" applyBorder="1" applyAlignment="1">
      <alignment horizontal="left" wrapText="1"/>
    </xf>
    <xf numFmtId="0" fontId="34" fillId="9" borderId="17" xfId="0" applyFont="1" applyFill="1" applyBorder="1" applyAlignment="1">
      <alignment horizontal="left"/>
    </xf>
    <xf numFmtId="0" fontId="34" fillId="9" borderId="0" xfId="0" applyFont="1" applyFill="1" applyBorder="1" applyAlignment="1">
      <alignment horizontal="left"/>
    </xf>
    <xf numFmtId="0" fontId="34" fillId="9" borderId="18" xfId="0" applyFont="1" applyFill="1" applyBorder="1" applyAlignment="1">
      <alignment horizontal="left"/>
    </xf>
    <xf numFmtId="0" fontId="0" fillId="5" borderId="10" xfId="0" applyFill="1" applyBorder="1" applyAlignment="1">
      <alignment wrapText="1"/>
    </xf>
    <xf numFmtId="0" fontId="0" fillId="5" borderId="12" xfId="0" applyFill="1" applyBorder="1" applyAlignment="1">
      <alignment wrapText="1"/>
    </xf>
    <xf numFmtId="0" fontId="1" fillId="5" borderId="10" xfId="0" applyFont="1" applyFill="1" applyBorder="1" applyAlignment="1">
      <alignment horizontal="center"/>
    </xf>
    <xf numFmtId="0" fontId="1" fillId="5" borderId="11" xfId="0" applyFont="1" applyFill="1" applyBorder="1" applyAlignment="1">
      <alignment horizontal="center"/>
    </xf>
    <xf numFmtId="0" fontId="1" fillId="5" borderId="12" xfId="0" applyFont="1" applyFill="1" applyBorder="1" applyAlignment="1">
      <alignment horizontal="center"/>
    </xf>
    <xf numFmtId="0" fontId="0" fillId="10" borderId="10" xfId="0" applyFill="1" applyBorder="1" applyAlignment="1">
      <alignment horizontal="center"/>
    </xf>
    <xf numFmtId="0" fontId="0" fillId="10" borderId="11" xfId="0" applyFill="1" applyBorder="1" applyAlignment="1">
      <alignment horizontal="center"/>
    </xf>
    <xf numFmtId="0" fontId="0" fillId="10" borderId="12" xfId="0" applyFill="1" applyBorder="1" applyAlignment="1">
      <alignment horizontal="center"/>
    </xf>
    <xf numFmtId="0" fontId="38" fillId="9" borderId="2" xfId="0" applyFont="1" applyFill="1" applyBorder="1" applyAlignment="1">
      <alignment horizontal="center"/>
    </xf>
    <xf numFmtId="0" fontId="38" fillId="9" borderId="3" xfId="0" applyFont="1" applyFill="1" applyBorder="1" applyAlignment="1">
      <alignment horizontal="center"/>
    </xf>
    <xf numFmtId="0" fontId="38" fillId="9" borderId="4" xfId="0" applyFont="1" applyFill="1" applyBorder="1" applyAlignment="1">
      <alignment horizontal="center"/>
    </xf>
    <xf numFmtId="0" fontId="43" fillId="9" borderId="8" xfId="0" applyFont="1" applyFill="1" applyBorder="1" applyAlignment="1">
      <alignment horizontal="center"/>
    </xf>
    <xf numFmtId="0" fontId="43" fillId="9" borderId="0" xfId="0" applyFont="1" applyFill="1" applyBorder="1" applyAlignment="1">
      <alignment horizontal="center"/>
    </xf>
    <xf numFmtId="0" fontId="43" fillId="9" borderId="9" xfId="0" applyFont="1" applyFill="1" applyBorder="1" applyAlignment="1">
      <alignment horizontal="center"/>
    </xf>
    <xf numFmtId="0" fontId="34" fillId="9" borderId="8" xfId="0" applyFont="1" applyFill="1" applyBorder="1" applyAlignment="1">
      <alignment horizontal="left" wrapText="1"/>
    </xf>
    <xf numFmtId="0" fontId="34" fillId="9" borderId="9" xfId="0" applyFont="1" applyFill="1" applyBorder="1" applyAlignment="1">
      <alignment horizontal="left" wrapText="1"/>
    </xf>
    <xf numFmtId="0" fontId="34" fillId="9" borderId="8" xfId="0" applyFont="1" applyFill="1" applyBorder="1" applyAlignment="1">
      <alignment horizontal="left"/>
    </xf>
    <xf numFmtId="0" fontId="34" fillId="9" borderId="9" xfId="0" applyFont="1" applyFill="1" applyBorder="1" applyAlignment="1">
      <alignment horizontal="left"/>
    </xf>
    <xf numFmtId="0" fontId="0" fillId="4" borderId="1" xfId="0" applyFill="1" applyBorder="1" applyAlignment="1">
      <alignment horizontal="center" wrapText="1"/>
    </xf>
    <xf numFmtId="0" fontId="1" fillId="5" borderId="2" xfId="0" applyFont="1" applyFill="1" applyBorder="1" applyAlignment="1">
      <alignment horizontal="center"/>
    </xf>
    <xf numFmtId="0" fontId="49" fillId="9" borderId="19" xfId="0" applyFont="1" applyFill="1" applyBorder="1" applyAlignment="1">
      <alignment wrapText="1"/>
    </xf>
    <xf numFmtId="0" fontId="41" fillId="9" borderId="20" xfId="0" applyFont="1" applyFill="1" applyBorder="1" applyAlignment="1">
      <alignment wrapText="1"/>
    </xf>
    <xf numFmtId="0" fontId="41" fillId="9" borderId="17" xfId="0" applyFont="1" applyFill="1" applyBorder="1" applyAlignment="1">
      <alignment wrapText="1"/>
    </xf>
    <xf numFmtId="0" fontId="41" fillId="9" borderId="0" xfId="0" applyFont="1" applyFill="1" applyBorder="1" applyAlignment="1">
      <alignment wrapText="1"/>
    </xf>
    <xf numFmtId="0" fontId="8" fillId="2" borderId="2" xfId="0" applyFont="1" applyFill="1" applyBorder="1" applyAlignment="1">
      <alignment horizontal="center"/>
    </xf>
    <xf numFmtId="0" fontId="8" fillId="2" borderId="4" xfId="0" applyFont="1" applyFill="1" applyBorder="1" applyAlignment="1">
      <alignment horizontal="center"/>
    </xf>
    <xf numFmtId="0" fontId="8" fillId="4" borderId="2" xfId="0" applyFont="1" applyFill="1" applyBorder="1"/>
    <xf numFmtId="0" fontId="8" fillId="4" borderId="4" xfId="0" applyFont="1" applyFill="1" applyBorder="1"/>
    <xf numFmtId="0" fontId="0" fillId="5" borderId="1" xfId="0" applyFont="1" applyFill="1" applyBorder="1" applyAlignment="1">
      <alignment horizontal="left"/>
    </xf>
    <xf numFmtId="0" fontId="8" fillId="5" borderId="1" xfId="0" applyFont="1" applyFill="1" applyBorder="1" applyAlignment="1">
      <alignment horizontal="left"/>
    </xf>
    <xf numFmtId="0" fontId="0" fillId="0" borderId="0" xfId="0" applyAlignment="1">
      <alignment wrapText="1"/>
    </xf>
    <xf numFmtId="0" fontId="3" fillId="9" borderId="14" xfId="0" applyFont="1" applyFill="1" applyBorder="1" applyAlignment="1">
      <alignment horizontal="center" wrapText="1"/>
    </xf>
    <xf numFmtId="0" fontId="23" fillId="9" borderId="15" xfId="0" applyFont="1" applyFill="1" applyBorder="1" applyAlignment="1">
      <alignment horizontal="center" wrapText="1"/>
    </xf>
    <xf numFmtId="0" fontId="48" fillId="9" borderId="17" xfId="0" applyFont="1" applyFill="1" applyBorder="1" applyAlignment="1">
      <alignment horizontal="center" wrapText="1"/>
    </xf>
    <xf numFmtId="0" fontId="23" fillId="9" borderId="0" xfId="0" applyFont="1" applyFill="1" applyBorder="1" applyAlignment="1">
      <alignment horizontal="center" wrapText="1"/>
    </xf>
    <xf numFmtId="0" fontId="0" fillId="5" borderId="10" xfId="0" applyFill="1" applyBorder="1" applyAlignment="1">
      <alignment horizontal="left" indent="1"/>
    </xf>
    <xf numFmtId="0" fontId="0" fillId="5" borderId="11" xfId="0" applyFill="1" applyBorder="1" applyAlignment="1">
      <alignment horizontal="left" indent="1"/>
    </xf>
    <xf numFmtId="0" fontId="0" fillId="5" borderId="12" xfId="0" applyFill="1" applyBorder="1" applyAlignment="1">
      <alignment horizontal="left" indent="1"/>
    </xf>
    <xf numFmtId="0" fontId="0" fillId="5" borderId="10" xfId="0" applyFill="1" applyBorder="1"/>
    <xf numFmtId="0" fontId="0" fillId="5" borderId="11" xfId="0" applyFill="1" applyBorder="1"/>
    <xf numFmtId="0" fontId="0" fillId="5" borderId="12" xfId="0" applyFill="1" applyBorder="1"/>
    <xf numFmtId="0" fontId="1" fillId="9" borderId="17" xfId="0" applyFont="1" applyFill="1" applyBorder="1" applyAlignment="1">
      <alignment wrapText="1"/>
    </xf>
    <xf numFmtId="0" fontId="6" fillId="9" borderId="0" xfId="0" applyFont="1" applyFill="1" applyBorder="1" applyAlignment="1">
      <alignment wrapText="1"/>
    </xf>
    <xf numFmtId="0" fontId="8" fillId="5" borderId="1" xfId="0" applyFont="1" applyFill="1" applyBorder="1" applyAlignment="1">
      <alignment horizontal="right"/>
    </xf>
    <xf numFmtId="0" fontId="23" fillId="9" borderId="18" xfId="0" applyFont="1" applyFill="1" applyBorder="1" applyAlignment="1">
      <alignment horizontal="center" wrapText="1"/>
    </xf>
    <xf numFmtId="0" fontId="38" fillId="9" borderId="14" xfId="0" applyFont="1" applyFill="1" applyBorder="1" applyAlignment="1">
      <alignment horizontal="center"/>
    </xf>
    <xf numFmtId="0" fontId="38" fillId="9" borderId="15" xfId="0" applyFont="1" applyFill="1" applyBorder="1" applyAlignment="1">
      <alignment horizontal="center"/>
    </xf>
    <xf numFmtId="0" fontId="38" fillId="9" borderId="16" xfId="0" applyFont="1" applyFill="1" applyBorder="1" applyAlignment="1">
      <alignment horizontal="center"/>
    </xf>
    <xf numFmtId="0" fontId="3" fillId="9" borderId="0" xfId="0" applyFont="1" applyFill="1" applyBorder="1" applyAlignment="1">
      <alignment horizontal="left" wrapText="1"/>
    </xf>
    <xf numFmtId="0" fontId="3" fillId="9" borderId="18" xfId="0" applyFont="1" applyFill="1" applyBorder="1" applyAlignment="1">
      <alignment horizontal="left" wrapText="1"/>
    </xf>
    <xf numFmtId="0" fontId="1" fillId="9" borderId="17" xfId="0" applyFont="1" applyFill="1" applyBorder="1" applyAlignment="1">
      <alignment horizontal="left" wrapText="1"/>
    </xf>
    <xf numFmtId="0" fontId="1" fillId="9" borderId="0" xfId="0" applyFont="1" applyFill="1" applyBorder="1" applyAlignment="1">
      <alignment horizontal="left" wrapText="1"/>
    </xf>
    <xf numFmtId="0" fontId="1" fillId="9" borderId="18" xfId="0" applyFont="1" applyFill="1" applyBorder="1" applyAlignment="1">
      <alignment horizontal="left" wrapText="1"/>
    </xf>
    <xf numFmtId="0" fontId="51" fillId="9" borderId="17" xfId="0" applyFont="1" applyFill="1" applyBorder="1" applyAlignment="1">
      <alignment horizontal="left" wrapText="1"/>
    </xf>
    <xf numFmtId="0" fontId="1" fillId="0" borderId="0" xfId="0" applyFont="1" applyFill="1" applyBorder="1" applyAlignment="1">
      <alignment horizontal="center"/>
    </xf>
    <xf numFmtId="0" fontId="27" fillId="3" borderId="10" xfId="0" applyFont="1" applyFill="1" applyBorder="1"/>
    <xf numFmtId="0" fontId="27" fillId="3" borderId="11" xfId="0" applyFont="1" applyFill="1" applyBorder="1"/>
    <xf numFmtId="0" fontId="27" fillId="3" borderId="12" xfId="0" applyFont="1" applyFill="1" applyBorder="1"/>
    <xf numFmtId="0" fontId="2" fillId="2" borderId="1" xfId="0" applyFont="1" applyFill="1" applyBorder="1"/>
    <xf numFmtId="0" fontId="9" fillId="0" borderId="0" xfId="4" applyAlignment="1">
      <alignment wrapText="1"/>
    </xf>
    <xf numFmtId="0" fontId="0" fillId="0" borderId="0" xfId="0" applyAlignment="1">
      <alignment horizontal="right"/>
    </xf>
    <xf numFmtId="0" fontId="2" fillId="12" borderId="1" xfId="0" applyFont="1" applyFill="1" applyBorder="1" applyAlignment="1"/>
    <xf numFmtId="0" fontId="2" fillId="4" borderId="1" xfId="0" applyFont="1" applyFill="1" applyBorder="1"/>
    <xf numFmtId="0" fontId="18" fillId="2" borderId="1" xfId="0" applyFont="1" applyFill="1" applyBorder="1"/>
    <xf numFmtId="0" fontId="2" fillId="5" borderId="1" xfId="0" applyFont="1" applyFill="1" applyBorder="1"/>
    <xf numFmtId="0" fontId="24" fillId="4" borderId="1" xfId="0" applyFont="1" applyFill="1" applyBorder="1" applyAlignment="1">
      <alignment horizontal="left"/>
    </xf>
    <xf numFmtId="0" fontId="3" fillId="0" borderId="0" xfId="0" applyFont="1" applyAlignment="1">
      <alignment wrapText="1"/>
    </xf>
    <xf numFmtId="0" fontId="2" fillId="10" borderId="0" xfId="0" applyFont="1" applyFill="1"/>
    <xf numFmtId="0" fontId="23" fillId="0" borderId="0" xfId="0" applyFont="1" applyAlignment="1">
      <alignment wrapText="1"/>
    </xf>
    <xf numFmtId="0" fontId="41" fillId="0" borderId="0" xfId="0" applyFont="1" applyAlignment="1">
      <alignment wrapText="1"/>
    </xf>
    <xf numFmtId="0" fontId="8" fillId="2" borderId="0" xfId="0" applyFont="1" applyFill="1" applyAlignment="1">
      <alignment horizontal="center"/>
    </xf>
    <xf numFmtId="0" fontId="8" fillId="4" borderId="0" xfId="0" applyFont="1" applyFill="1"/>
    <xf numFmtId="0" fontId="8" fillId="10" borderId="2" xfId="0" applyFont="1" applyFill="1" applyBorder="1" applyAlignment="1">
      <alignment horizontal="center"/>
    </xf>
    <xf numFmtId="0" fontId="8" fillId="10" borderId="3" xfId="0" applyFont="1" applyFill="1" applyBorder="1" applyAlignment="1">
      <alignment horizontal="center"/>
    </xf>
    <xf numFmtId="0" fontId="8" fillId="10" borderId="4" xfId="0" applyFont="1" applyFill="1" applyBorder="1" applyAlignment="1">
      <alignment horizontal="center"/>
    </xf>
    <xf numFmtId="0" fontId="0" fillId="2" borderId="6" xfId="0" applyFill="1" applyBorder="1" applyAlignment="1">
      <alignment horizontal="center"/>
    </xf>
    <xf numFmtId="0" fontId="0" fillId="2" borderId="7" xfId="0" applyFill="1" applyBorder="1" applyAlignment="1">
      <alignment horizontal="center"/>
    </xf>
    <xf numFmtId="0" fontId="0" fillId="4" borderId="6" xfId="0" applyFill="1" applyBorder="1" applyAlignment="1">
      <alignment horizontal="center" wrapText="1"/>
    </xf>
    <xf numFmtId="0" fontId="0" fillId="4" borderId="7" xfId="0" applyFill="1" applyBorder="1" applyAlignment="1">
      <alignment horizontal="center" wrapText="1"/>
    </xf>
    <xf numFmtId="0" fontId="8" fillId="5" borderId="2" xfId="0" applyFont="1" applyFill="1" applyBorder="1" applyAlignment="1">
      <alignment horizontal="center"/>
    </xf>
    <xf numFmtId="0" fontId="8" fillId="5" borderId="3" xfId="0" applyFont="1" applyFill="1" applyBorder="1" applyAlignment="1">
      <alignment horizontal="center"/>
    </xf>
    <xf numFmtId="0" fontId="8" fillId="5" borderId="4" xfId="0" applyFont="1" applyFill="1" applyBorder="1" applyAlignment="1">
      <alignment horizontal="center"/>
    </xf>
    <xf numFmtId="0" fontId="0" fillId="3" borderId="5" xfId="0" applyFill="1" applyBorder="1" applyAlignment="1">
      <alignment horizontal="center"/>
    </xf>
    <xf numFmtId="0" fontId="0" fillId="3" borderId="6" xfId="0" applyFill="1" applyBorder="1" applyAlignment="1">
      <alignment horizontal="center"/>
    </xf>
    <xf numFmtId="0" fontId="0" fillId="4" borderId="6" xfId="0" applyFill="1" applyBorder="1" applyAlignment="1">
      <alignment horizontal="center"/>
    </xf>
    <xf numFmtId="0" fontId="8" fillId="0" borderId="0" xfId="0" applyFont="1" applyFill="1" applyBorder="1"/>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2082800</xdr:colOff>
      <xdr:row>12</xdr:row>
      <xdr:rowOff>215900</xdr:rowOff>
    </xdr:from>
    <xdr:to>
      <xdr:col>7</xdr:col>
      <xdr:colOff>292100</xdr:colOff>
      <xdr:row>27</xdr:row>
      <xdr:rowOff>190500</xdr:rowOff>
    </xdr:to>
    <xdr:sp macro="" textlink="">
      <xdr:nvSpPr>
        <xdr:cNvPr id="2" name="TextBox 1">
          <a:extLst>
            <a:ext uri="{FF2B5EF4-FFF2-40B4-BE49-F238E27FC236}">
              <a16:creationId xmlns:a16="http://schemas.microsoft.com/office/drawing/2014/main" xmlns="" id="{A4DE28E9-A55F-6B43-B408-ED0CB6DF8CF0}"/>
            </a:ext>
          </a:extLst>
        </xdr:cNvPr>
        <xdr:cNvSpPr txBox="1"/>
      </xdr:nvSpPr>
      <xdr:spPr>
        <a:xfrm>
          <a:off x="2082800" y="4953000"/>
          <a:ext cx="7239000" cy="306070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0" b="1" baseline="0">
              <a:solidFill>
                <a:srgbClr val="7030A0"/>
              </a:solidFill>
            </a:rPr>
            <a:t>        </a:t>
          </a:r>
          <a:r>
            <a:rPr lang="en-US" sz="10000" b="1">
              <a:solidFill>
                <a:srgbClr val="7030A0"/>
              </a:solidFill>
            </a:rPr>
            <a:t>TBD</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127</xdr:row>
      <xdr:rowOff>50800</xdr:rowOff>
    </xdr:from>
    <xdr:to>
      <xdr:col>3</xdr:col>
      <xdr:colOff>504253</xdr:colOff>
      <xdr:row>180</xdr:row>
      <xdr:rowOff>88901</xdr:rowOff>
    </xdr:to>
    <xdr:pic>
      <xdr:nvPicPr>
        <xdr:cNvPr id="2" name="Picture 1">
          <a:extLst>
            <a:ext uri="{FF2B5EF4-FFF2-40B4-BE49-F238E27FC236}">
              <a16:creationId xmlns:a16="http://schemas.microsoft.com/office/drawing/2014/main" xmlns="" id="{AF538D99-C239-5F46-8FE2-82BBB8EC6242}"/>
            </a:ext>
          </a:extLst>
        </xdr:cNvPr>
        <xdr:cNvPicPr>
          <a:picLocks noChangeAspect="1"/>
        </xdr:cNvPicPr>
      </xdr:nvPicPr>
      <xdr:blipFill>
        <a:blip xmlns:r="http://schemas.openxmlformats.org/officeDocument/2006/relationships" r:embed="rId1"/>
        <a:stretch>
          <a:fillRect/>
        </a:stretch>
      </xdr:blipFill>
      <xdr:spPr>
        <a:xfrm>
          <a:off x="0" y="20281900"/>
          <a:ext cx="5638800" cy="10807700"/>
        </a:xfrm>
        <a:prstGeom prst="rect">
          <a:avLst/>
        </a:prstGeom>
        <a:ln>
          <a:solidFill>
            <a:schemeClr val="accent1"/>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128</xdr:row>
      <xdr:rowOff>0</xdr:rowOff>
    </xdr:from>
    <xdr:to>
      <xdr:col>2</xdr:col>
      <xdr:colOff>731982</xdr:colOff>
      <xdr:row>141</xdr:row>
      <xdr:rowOff>59429</xdr:rowOff>
    </xdr:to>
    <xdr:pic>
      <xdr:nvPicPr>
        <xdr:cNvPr id="3" name="Picture 2" descr="How Many Daily Calories Will I Need? – ReadyWise">
          <a:extLst>
            <a:ext uri="{FF2B5EF4-FFF2-40B4-BE49-F238E27FC236}">
              <a16:creationId xmlns:a16="http://schemas.microsoft.com/office/drawing/2014/main" xmlns="" id="{64C53927-1FAE-D94C-9165-440A344D21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856364"/>
          <a:ext cx="4368800" cy="32228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681182</xdr:colOff>
      <xdr:row>133</xdr:row>
      <xdr:rowOff>57727</xdr:rowOff>
    </xdr:from>
    <xdr:to>
      <xdr:col>2</xdr:col>
      <xdr:colOff>1016000</xdr:colOff>
      <xdr:row>134</xdr:row>
      <xdr:rowOff>138545</xdr:rowOff>
    </xdr:to>
    <xdr:sp macro="" textlink="">
      <xdr:nvSpPr>
        <xdr:cNvPr id="8" name="Rounded Rectangle 7">
          <a:extLst>
            <a:ext uri="{FF2B5EF4-FFF2-40B4-BE49-F238E27FC236}">
              <a16:creationId xmlns:a16="http://schemas.microsoft.com/office/drawing/2014/main" xmlns="" id="{B38C6499-356D-564D-9294-CE04CC2AEFF6}"/>
            </a:ext>
          </a:extLst>
        </xdr:cNvPr>
        <xdr:cNvSpPr/>
      </xdr:nvSpPr>
      <xdr:spPr>
        <a:xfrm>
          <a:off x="681182" y="18472727"/>
          <a:ext cx="3890818" cy="334818"/>
        </a:xfrm>
        <a:prstGeom prst="roundRect">
          <a:avLst/>
        </a:prstGeom>
        <a:solidFill>
          <a:schemeClr val="accent4">
            <a:lumMod val="20000"/>
            <a:lumOff val="80000"/>
            <a:alpha val="3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683493</xdr:colOff>
      <xdr:row>139</xdr:row>
      <xdr:rowOff>2309</xdr:rowOff>
    </xdr:from>
    <xdr:to>
      <xdr:col>2</xdr:col>
      <xdr:colOff>1018311</xdr:colOff>
      <xdr:row>140</xdr:row>
      <xdr:rowOff>129309</xdr:rowOff>
    </xdr:to>
    <xdr:sp macro="" textlink="">
      <xdr:nvSpPr>
        <xdr:cNvPr id="9" name="Rounded Rectangle 8">
          <a:extLst>
            <a:ext uri="{FF2B5EF4-FFF2-40B4-BE49-F238E27FC236}">
              <a16:creationId xmlns:a16="http://schemas.microsoft.com/office/drawing/2014/main" xmlns="" id="{2188E6C1-0A6D-2242-A445-A6B9CF523AA1}"/>
            </a:ext>
          </a:extLst>
        </xdr:cNvPr>
        <xdr:cNvSpPr/>
      </xdr:nvSpPr>
      <xdr:spPr>
        <a:xfrm>
          <a:off x="683493" y="19941309"/>
          <a:ext cx="3890818" cy="334818"/>
        </a:xfrm>
        <a:prstGeom prst="roundRect">
          <a:avLst/>
        </a:prstGeom>
        <a:solidFill>
          <a:schemeClr val="accent4">
            <a:lumMod val="20000"/>
            <a:lumOff val="80000"/>
            <a:alpha val="3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3" Type="http://schemas.openxmlformats.org/officeDocument/2006/relationships/hyperlink" Target="https://mypatriotsupply.com/collections/long-term-food-storage/products/1-year-emergency-food-supply-2-000-calories-day%20(as%20of%20Mar%202022)" TargetMode="External"/><Relationship Id="rId2" Type="http://schemas.openxmlformats.org/officeDocument/2006/relationships/hyperlink" Target="https://readysquirrel.com/how-much-food-to-stockpile-per-person/" TargetMode="External"/><Relationship Id="rId1" Type="http://schemas.openxmlformats.org/officeDocument/2006/relationships/hyperlink" Target="https://foodassets.com/info/food-calculator.html" TargetMode="External"/><Relationship Id="rId5" Type="http://schemas.openxmlformats.org/officeDocument/2006/relationships/drawing" Target="../drawings/drawing2.xml"/><Relationship Id="rId4" Type="http://schemas.openxmlformats.org/officeDocument/2006/relationships/hyperlink" Target="https://beefjerkyhub.com/how-much-beef-jerky-from-one-cow" TargetMode="Externa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J59"/>
  <sheetViews>
    <sheetView topLeftCell="A23" zoomScale="110" zoomScaleNormal="110" workbookViewId="0">
      <selection activeCell="D54" sqref="D54"/>
    </sheetView>
  </sheetViews>
  <sheetFormatPr defaultColWidth="11.19921875" defaultRowHeight="15.6"/>
  <cols>
    <col min="1" max="1" width="10.796875" style="23"/>
    <col min="2" max="2" width="56" customWidth="1"/>
    <col min="5" max="5" width="12.296875" customWidth="1"/>
    <col min="6" max="7" width="12" customWidth="1"/>
    <col min="8" max="8" width="12.5" customWidth="1"/>
  </cols>
  <sheetData>
    <row r="1" spans="1:6" ht="25.95" customHeight="1">
      <c r="A1" s="400" t="s">
        <v>577</v>
      </c>
      <c r="B1" s="401"/>
      <c r="C1" s="401"/>
      <c r="D1" s="401"/>
      <c r="E1" s="402"/>
    </row>
    <row r="2" spans="1:6" ht="25.95" customHeight="1">
      <c r="A2" s="139"/>
      <c r="B2" s="140"/>
      <c r="C2" s="140"/>
      <c r="D2" s="140"/>
      <c r="E2" s="141"/>
    </row>
    <row r="3" spans="1:6" ht="25.95" customHeight="1">
      <c r="A3" s="415" t="s">
        <v>578</v>
      </c>
      <c r="B3" s="416"/>
      <c r="C3" s="416"/>
      <c r="D3" s="416"/>
      <c r="E3" s="417"/>
      <c r="F3" s="378"/>
    </row>
    <row r="4" spans="1:6" ht="25.95" customHeight="1">
      <c r="A4" s="365"/>
      <c r="B4" s="366"/>
      <c r="C4" s="366"/>
      <c r="D4" s="366"/>
      <c r="E4" s="366"/>
      <c r="F4" s="379"/>
    </row>
    <row r="5" spans="1:6" ht="27" customHeight="1">
      <c r="A5" s="397" t="s">
        <v>351</v>
      </c>
      <c r="B5" s="398"/>
      <c r="C5" s="398"/>
      <c r="D5" s="398"/>
      <c r="E5" s="399"/>
    </row>
    <row r="6" spans="1:6" ht="75" customHeight="1">
      <c r="A6" s="405" t="s">
        <v>586</v>
      </c>
      <c r="B6" s="406"/>
      <c r="C6" s="406"/>
      <c r="D6" s="406"/>
      <c r="E6" s="407"/>
    </row>
    <row r="7" spans="1:6" ht="124.05" customHeight="1">
      <c r="A7" s="412" t="s">
        <v>594</v>
      </c>
      <c r="B7" s="413"/>
      <c r="C7" s="413"/>
      <c r="D7" s="413"/>
      <c r="E7" s="414"/>
    </row>
    <row r="8" spans="1:6" ht="28.95" customHeight="1">
      <c r="A8" s="408" t="s">
        <v>587</v>
      </c>
      <c r="B8" s="409"/>
      <c r="C8" s="409"/>
      <c r="D8" s="409"/>
      <c r="E8" s="410"/>
    </row>
    <row r="9" spans="1:6" ht="25.95" customHeight="1">
      <c r="A9" s="408" t="s">
        <v>575</v>
      </c>
      <c r="B9" s="409"/>
      <c r="C9" s="409"/>
      <c r="D9" s="409"/>
      <c r="E9" s="410"/>
    </row>
    <row r="10" spans="1:6" ht="28.05" customHeight="1">
      <c r="A10" s="367" t="s">
        <v>576</v>
      </c>
      <c r="B10" s="368"/>
      <c r="C10" s="368"/>
      <c r="D10" s="368"/>
      <c r="E10" s="369"/>
    </row>
    <row r="11" spans="1:6">
      <c r="A11" s="142"/>
      <c r="B11" s="143"/>
      <c r="C11" s="143"/>
      <c r="D11" s="143"/>
      <c r="E11" s="141"/>
    </row>
    <row r="12" spans="1:6" ht="18">
      <c r="A12" s="144" t="s">
        <v>353</v>
      </c>
      <c r="B12" s="145"/>
      <c r="C12" s="146"/>
      <c r="D12" s="146"/>
      <c r="E12" s="147"/>
    </row>
    <row r="14" spans="1:6" ht="21">
      <c r="A14" s="103"/>
      <c r="B14" s="411" t="s">
        <v>375</v>
      </c>
      <c r="C14" s="411"/>
      <c r="D14" s="411"/>
    </row>
    <row r="15" spans="1:6" ht="18">
      <c r="A15" s="103"/>
      <c r="B15" s="104"/>
    </row>
    <row r="16" spans="1:6" ht="18">
      <c r="A16" s="129" t="s">
        <v>269</v>
      </c>
      <c r="B16" s="105" t="s">
        <v>581</v>
      </c>
      <c r="C16" s="90"/>
      <c r="D16" s="90"/>
    </row>
    <row r="17" spans="1:8" ht="18">
      <c r="A17" s="103"/>
      <c r="B17" s="106" t="s">
        <v>275</v>
      </c>
      <c r="C17" s="380"/>
      <c r="D17" s="91" t="s">
        <v>272</v>
      </c>
    </row>
    <row r="18" spans="1:8" ht="18">
      <c r="A18" s="103"/>
      <c r="B18" s="106" t="s">
        <v>276</v>
      </c>
      <c r="C18" s="380"/>
      <c r="D18" s="91" t="s">
        <v>272</v>
      </c>
    </row>
    <row r="19" spans="1:8" ht="18">
      <c r="A19" s="103"/>
      <c r="B19" s="106" t="s">
        <v>289</v>
      </c>
      <c r="C19" s="380"/>
      <c r="D19" s="91" t="s">
        <v>272</v>
      </c>
    </row>
    <row r="20" spans="1:8">
      <c r="A20" s="103"/>
      <c r="B20" s="107"/>
      <c r="D20" s="23"/>
    </row>
    <row r="21" spans="1:8" ht="18.600000000000001">
      <c r="A21" s="129" t="s">
        <v>270</v>
      </c>
      <c r="B21" s="108" t="s">
        <v>352</v>
      </c>
      <c r="D21" s="23"/>
      <c r="F21" s="404" t="s">
        <v>291</v>
      </c>
      <c r="G21" s="404"/>
      <c r="H21" s="404"/>
    </row>
    <row r="22" spans="1:8" ht="18">
      <c r="A22" s="103"/>
      <c r="B22" s="106" t="s">
        <v>274</v>
      </c>
      <c r="C22" s="381"/>
      <c r="D22" s="91" t="s">
        <v>271</v>
      </c>
      <c r="E22" s="92" t="s">
        <v>290</v>
      </c>
      <c r="F22" s="336" t="s">
        <v>277</v>
      </c>
      <c r="G22" s="336" t="s">
        <v>281</v>
      </c>
      <c r="H22" s="336" t="s">
        <v>285</v>
      </c>
    </row>
    <row r="23" spans="1:8">
      <c r="A23" s="103"/>
      <c r="B23" s="106"/>
      <c r="C23" s="90"/>
      <c r="D23" s="91"/>
      <c r="F23" s="336" t="s">
        <v>279</v>
      </c>
      <c r="G23" s="336" t="s">
        <v>282</v>
      </c>
      <c r="H23" s="336" t="s">
        <v>286</v>
      </c>
    </row>
    <row r="24" spans="1:8" ht="18">
      <c r="A24" s="103"/>
      <c r="B24" s="106" t="s">
        <v>582</v>
      </c>
      <c r="C24" s="381"/>
      <c r="D24" s="91" t="s">
        <v>271</v>
      </c>
      <c r="E24" s="92" t="s">
        <v>290</v>
      </c>
      <c r="F24" s="336" t="s">
        <v>278</v>
      </c>
      <c r="G24" s="336" t="s">
        <v>283</v>
      </c>
      <c r="H24" s="336" t="s">
        <v>287</v>
      </c>
    </row>
    <row r="25" spans="1:8">
      <c r="A25" s="103"/>
      <c r="B25" s="106"/>
      <c r="C25" s="90"/>
      <c r="D25" s="91"/>
      <c r="F25" s="336" t="s">
        <v>280</v>
      </c>
      <c r="G25" s="336" t="s">
        <v>284</v>
      </c>
      <c r="H25" s="336" t="s">
        <v>288</v>
      </c>
    </row>
    <row r="26" spans="1:8" ht="55.95" customHeight="1">
      <c r="A26" s="103"/>
      <c r="B26" s="109" t="s">
        <v>583</v>
      </c>
      <c r="C26" s="167">
        <f>100%-C22-C24</f>
        <v>1</v>
      </c>
      <c r="D26" s="102" t="s">
        <v>271</v>
      </c>
      <c r="E26" s="370"/>
      <c r="F26" s="370"/>
    </row>
    <row r="27" spans="1:8" ht="24" customHeight="1">
      <c r="A27" s="103"/>
      <c r="B27" s="125" t="s">
        <v>354</v>
      </c>
      <c r="C27" s="127"/>
      <c r="D27" s="126"/>
      <c r="E27" s="370"/>
      <c r="F27" s="370"/>
    </row>
    <row r="28" spans="1:8">
      <c r="A28" s="103"/>
      <c r="B28" s="107"/>
    </row>
    <row r="29" spans="1:8" ht="18">
      <c r="A29" s="129" t="s">
        <v>273</v>
      </c>
      <c r="B29" s="110" t="s">
        <v>55</v>
      </c>
      <c r="C29" s="90"/>
      <c r="D29" s="90"/>
    </row>
    <row r="30" spans="1:8">
      <c r="A30" s="103"/>
      <c r="B30" s="106"/>
      <c r="C30" s="90"/>
      <c r="D30" s="90"/>
    </row>
    <row r="31" spans="1:8" ht="46.05" customHeight="1">
      <c r="A31" s="103"/>
      <c r="B31" s="111" t="s">
        <v>0</v>
      </c>
      <c r="C31" s="93" t="s">
        <v>292</v>
      </c>
      <c r="D31" s="93" t="s">
        <v>174</v>
      </c>
      <c r="E31" s="85"/>
      <c r="F31" s="85"/>
      <c r="G31" s="85"/>
    </row>
    <row r="32" spans="1:8" ht="18">
      <c r="A32" s="103"/>
      <c r="B32" s="112" t="s">
        <v>3</v>
      </c>
      <c r="C32" s="382"/>
      <c r="D32" s="382"/>
      <c r="E32" s="86"/>
      <c r="F32" s="87"/>
      <c r="G32" s="88"/>
    </row>
    <row r="33" spans="1:7" ht="18">
      <c r="A33" s="103"/>
      <c r="B33" s="112" t="s">
        <v>4</v>
      </c>
      <c r="C33" s="383"/>
      <c r="D33" s="382">
        <v>0</v>
      </c>
      <c r="E33" s="86"/>
      <c r="F33" s="87"/>
      <c r="G33" s="88"/>
    </row>
    <row r="34" spans="1:7" ht="18.600000000000001">
      <c r="A34" s="103"/>
      <c r="B34" s="112" t="s">
        <v>339</v>
      </c>
      <c r="C34" s="123"/>
      <c r="D34" s="382">
        <v>0</v>
      </c>
      <c r="E34" s="86"/>
      <c r="F34" s="87"/>
      <c r="G34" s="88"/>
    </row>
    <row r="35" spans="1:7" ht="18.600000000000001">
      <c r="A35" s="103"/>
      <c r="B35" s="112" t="s">
        <v>355</v>
      </c>
      <c r="C35" s="123"/>
      <c r="D35" s="385">
        <v>20</v>
      </c>
      <c r="E35" s="86"/>
      <c r="F35" s="87"/>
      <c r="G35" s="88"/>
    </row>
    <row r="36" spans="1:7" ht="18">
      <c r="A36" s="103"/>
      <c r="B36" s="112" t="s">
        <v>8</v>
      </c>
      <c r="C36" s="123"/>
      <c r="D36" s="382">
        <v>0</v>
      </c>
      <c r="E36" s="86"/>
      <c r="F36" s="87"/>
      <c r="G36" s="88"/>
    </row>
    <row r="37" spans="1:7" ht="18">
      <c r="A37" s="103"/>
      <c r="B37" s="112" t="s">
        <v>302</v>
      </c>
      <c r="C37" s="123"/>
      <c r="D37" s="382"/>
      <c r="E37" s="86"/>
      <c r="F37" s="87"/>
      <c r="G37" s="88"/>
    </row>
    <row r="38" spans="1:7" ht="18">
      <c r="A38" s="103"/>
      <c r="B38" s="112" t="s">
        <v>310</v>
      </c>
      <c r="C38" s="123"/>
      <c r="D38" s="382"/>
      <c r="E38" s="86"/>
      <c r="F38" s="87"/>
      <c r="G38" s="88"/>
    </row>
    <row r="39" spans="1:7" ht="18">
      <c r="A39" s="103"/>
      <c r="B39" s="112" t="s">
        <v>56</v>
      </c>
      <c r="C39" s="123"/>
      <c r="D39" s="382"/>
      <c r="E39" s="86"/>
      <c r="F39" s="87"/>
      <c r="G39" s="88"/>
    </row>
    <row r="40" spans="1:7" ht="18">
      <c r="A40" s="103"/>
      <c r="B40" s="112" t="s">
        <v>29</v>
      </c>
      <c r="C40" s="123"/>
      <c r="D40" s="382"/>
      <c r="E40" s="86"/>
      <c r="F40" s="87"/>
      <c r="G40" s="88"/>
    </row>
    <row r="41" spans="1:7" ht="18">
      <c r="A41" s="103"/>
      <c r="B41" s="112" t="s">
        <v>169</v>
      </c>
      <c r="C41" s="123"/>
      <c r="D41" s="382"/>
      <c r="E41" s="86"/>
      <c r="F41" s="87"/>
      <c r="G41" s="88"/>
    </row>
    <row r="42" spans="1:7" ht="18">
      <c r="A42" s="103"/>
      <c r="B42" s="112" t="s">
        <v>32</v>
      </c>
      <c r="C42" s="123"/>
      <c r="D42" s="382"/>
      <c r="E42" s="86"/>
      <c r="F42" s="87"/>
      <c r="G42" s="88"/>
    </row>
    <row r="43" spans="1:7" ht="18">
      <c r="A43" s="103"/>
      <c r="B43" s="112" t="s">
        <v>33</v>
      </c>
      <c r="C43" s="123"/>
      <c r="D43" s="382"/>
      <c r="E43" s="86"/>
      <c r="F43" s="87"/>
      <c r="G43" s="88"/>
    </row>
    <row r="44" spans="1:7" ht="18">
      <c r="A44" s="103"/>
      <c r="B44" s="112" t="s">
        <v>584</v>
      </c>
      <c r="C44" s="123"/>
      <c r="D44" s="382"/>
      <c r="E44" s="86"/>
      <c r="F44" s="87"/>
      <c r="G44" s="88"/>
    </row>
    <row r="45" spans="1:7" ht="18">
      <c r="A45" s="103"/>
      <c r="B45" s="112" t="s">
        <v>6</v>
      </c>
      <c r="C45" s="123"/>
      <c r="D45" s="382"/>
      <c r="E45" s="86"/>
      <c r="F45" s="87"/>
      <c r="G45" s="88"/>
    </row>
    <row r="46" spans="1:7" ht="18">
      <c r="A46" s="103"/>
      <c r="B46" s="112" t="s">
        <v>30</v>
      </c>
      <c r="C46" s="123"/>
      <c r="D46" s="382"/>
      <c r="E46" s="86"/>
      <c r="F46" s="87"/>
      <c r="G46" s="88"/>
    </row>
    <row r="47" spans="1:7" ht="18">
      <c r="A47" s="103"/>
      <c r="B47" s="112" t="s">
        <v>31</v>
      </c>
      <c r="C47" s="123"/>
      <c r="D47" s="382"/>
      <c r="E47" s="86"/>
      <c r="F47" s="87"/>
      <c r="G47" s="88"/>
    </row>
    <row r="48" spans="1:7" ht="18">
      <c r="A48" s="103"/>
      <c r="B48" s="112" t="s">
        <v>170</v>
      </c>
      <c r="C48" s="123"/>
      <c r="D48" s="382"/>
      <c r="E48" s="86"/>
      <c r="F48" s="87"/>
      <c r="G48" s="88"/>
    </row>
    <row r="49" spans="1:10">
      <c r="A49" s="103"/>
      <c r="B49" s="106"/>
      <c r="C49" s="124"/>
      <c r="D49" s="124"/>
    </row>
    <row r="50" spans="1:10" ht="18">
      <c r="A50" s="103"/>
      <c r="B50" s="106" t="s">
        <v>324</v>
      </c>
      <c r="C50" s="124"/>
      <c r="D50" s="124"/>
    </row>
    <row r="51" spans="1:10" ht="18">
      <c r="A51" s="103"/>
      <c r="B51" s="106" t="s">
        <v>356</v>
      </c>
      <c r="C51" s="124"/>
      <c r="D51" s="124"/>
    </row>
    <row r="52" spans="1:10" ht="42" customHeight="1">
      <c r="A52" s="103"/>
      <c r="B52" s="113" t="s">
        <v>9</v>
      </c>
      <c r="C52" s="90"/>
      <c r="D52" s="94" t="s">
        <v>181</v>
      </c>
      <c r="E52" s="4"/>
      <c r="F52" s="4"/>
    </row>
    <row r="53" spans="1:10" ht="18.600000000000001">
      <c r="A53" s="103"/>
      <c r="B53" s="106" t="s">
        <v>337</v>
      </c>
      <c r="C53" s="124"/>
      <c r="D53" s="384"/>
      <c r="E53" s="17"/>
    </row>
    <row r="54" spans="1:10" ht="18">
      <c r="A54" s="103"/>
      <c r="B54" s="106" t="s">
        <v>293</v>
      </c>
      <c r="C54" s="124"/>
      <c r="D54" s="384"/>
    </row>
    <row r="55" spans="1:10" ht="34.950000000000003" customHeight="1">
      <c r="A55" s="103"/>
      <c r="B55" s="106" t="s">
        <v>338</v>
      </c>
      <c r="C55" s="90"/>
      <c r="D55" s="90"/>
    </row>
    <row r="56" spans="1:10" ht="19.95" customHeight="1">
      <c r="A56" s="103"/>
      <c r="B56" s="130"/>
      <c r="C56" s="128"/>
      <c r="D56" s="128"/>
    </row>
    <row r="57" spans="1:10" ht="22.05" customHeight="1">
      <c r="A57" s="294" t="s">
        <v>357</v>
      </c>
      <c r="B57" s="403" t="s">
        <v>588</v>
      </c>
      <c r="C57" s="403"/>
      <c r="D57" s="403"/>
      <c r="E57" s="199"/>
      <c r="F57" s="199"/>
    </row>
    <row r="58" spans="1:10">
      <c r="A58" s="103"/>
      <c r="B58" s="107"/>
    </row>
    <row r="59" spans="1:10">
      <c r="J59" s="81"/>
    </row>
  </sheetData>
  <sheetProtection algorithmName="SHA-512" hashValue="0CAUYOGpmMSrhXCoF/9c0SIhZtcH8THs9L6XTuOsycEKr5QHOt237OrWJWyZMYvlK9dDdDi4iWRi37Da7Sl11Q==" saltValue="r3lY9TcHsMy7wDF0QU53fw==" spinCount="100000" sheet="1" objects="1" scenarios="1" selectLockedCells="1"/>
  <mergeCells count="10">
    <mergeCell ref="A5:E5"/>
    <mergeCell ref="A1:E1"/>
    <mergeCell ref="B57:D57"/>
    <mergeCell ref="F21:H21"/>
    <mergeCell ref="A6:E6"/>
    <mergeCell ref="A8:E8"/>
    <mergeCell ref="A9:E9"/>
    <mergeCell ref="B14:D14"/>
    <mergeCell ref="A7:E7"/>
    <mergeCell ref="A3:E3"/>
  </mergeCells>
  <dataValidations count="2">
    <dataValidation type="whole" allowBlank="1" showInputMessage="1" showErrorMessage="1" sqref="C17">
      <formula1>0</formula1>
      <formula2>200</formula2>
    </dataValidation>
    <dataValidation type="whole" allowBlank="1" showInputMessage="1" showErrorMessage="1" errorTitle="Incorrect # of Females Entered" error="The Number of Males you entered plus this number of Females DOES NOT equal the total number of ALL Ranch Members you entered. Please enter the correct number of Females." promptTitle="Female Ranch Member Check" prompt="Number of Females + Number of Males must equal TOTAL number of all Ranch Members (Members &amp; Staff)" sqref="C19">
      <formula1>C17-C18</formula1>
      <formula2>C17-C18</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x14:formula1>
            <xm:f>'Picklist Data'!$A$9:$A$20</xm:f>
          </x14:formula1>
          <xm:sqref>C24</xm:sqref>
        </x14:dataValidation>
        <x14:dataValidation type="list" allowBlank="1" showInputMessage="1" showErrorMessage="1">
          <x14:formula1>
            <xm:f>'Picklist Data'!$A$23:$A$37</xm:f>
          </x14:formula1>
          <xm:sqref>C32</xm:sqref>
        </x14:dataValidation>
        <x14:dataValidation type="list" allowBlank="1" showInputMessage="1" showErrorMessage="1">
          <x14:formula1>
            <xm:f>'Picklist Data'!$A$40:$A$43</xm:f>
          </x14:formula1>
          <xm:sqref>C33</xm:sqref>
        </x14:dataValidation>
        <x14:dataValidation type="list" allowBlank="1" showInputMessage="1" showErrorMessage="1">
          <x14:formula1>
            <xm:f>'Picklist Data'!$A$8:$A$20</xm:f>
          </x14:formula1>
          <xm:sqref>C22</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7"/>
  <sheetViews>
    <sheetView zoomScale="148" zoomScaleNormal="148" workbookViewId="0">
      <selection sqref="A1:XFD1048576"/>
    </sheetView>
  </sheetViews>
  <sheetFormatPr defaultColWidth="11.19921875" defaultRowHeight="15.6"/>
  <cols>
    <col min="1" max="1" width="24.296875" customWidth="1"/>
    <col min="2" max="2" width="13.69921875" customWidth="1"/>
    <col min="3" max="3" width="12.296875" customWidth="1"/>
    <col min="4" max="4" width="12.19921875" customWidth="1"/>
    <col min="6" max="6" width="11.296875" customWidth="1"/>
    <col min="7" max="7" width="15" customWidth="1"/>
    <col min="8" max="8" width="11.796875" customWidth="1"/>
    <col min="10" max="10" width="19.19921875" bestFit="1" customWidth="1"/>
  </cols>
  <sheetData>
    <row r="1" spans="1:11" ht="55.95" customHeight="1">
      <c r="A1" s="508" t="s">
        <v>364</v>
      </c>
      <c r="B1" s="508"/>
      <c r="C1" s="508"/>
      <c r="D1" s="508"/>
      <c r="E1" s="508"/>
      <c r="F1" s="508"/>
      <c r="G1" s="508"/>
      <c r="H1" s="508"/>
      <c r="I1" s="508"/>
      <c r="J1" s="194"/>
      <c r="K1" s="73"/>
    </row>
    <row r="2" spans="1:11" ht="25.05" customHeight="1">
      <c r="A2" s="509" t="s">
        <v>365</v>
      </c>
      <c r="B2" s="509"/>
      <c r="C2" s="509"/>
      <c r="D2" s="509"/>
      <c r="E2" s="509"/>
      <c r="F2" s="509"/>
      <c r="G2" s="509"/>
      <c r="H2" s="74"/>
      <c r="I2" s="74"/>
      <c r="J2" s="74"/>
      <c r="K2" s="74"/>
    </row>
    <row r="3" spans="1:11" ht="25.05" customHeight="1">
      <c r="A3" s="187"/>
      <c r="B3" s="187"/>
      <c r="C3" s="187"/>
      <c r="D3" s="187"/>
      <c r="E3" s="187"/>
      <c r="F3" s="187"/>
      <c r="G3" s="187"/>
      <c r="H3" s="74"/>
      <c r="I3" s="74"/>
      <c r="J3" s="74"/>
      <c r="K3" s="74"/>
    </row>
    <row r="5" spans="1:11">
      <c r="B5" s="510" t="s">
        <v>376</v>
      </c>
      <c r="C5" s="510"/>
      <c r="F5" s="25"/>
      <c r="G5" s="511" t="e">
        <f ca="1">_xlfn.CONCAT('Calorie Planning Factors'!B4, " Total Members for 6 Month")</f>
        <v>#NAME?</v>
      </c>
      <c r="H5" s="511"/>
      <c r="J5" s="17"/>
    </row>
    <row r="6" spans="1:11">
      <c r="B6" s="196" t="e">
        <f>'Calorie Planning Factors'!D31</f>
        <v>#DIV/0!</v>
      </c>
      <c r="C6" s="77" t="s">
        <v>165</v>
      </c>
      <c r="G6" s="78" t="e">
        <f>'Calorie Planning Factors'!D32</f>
        <v>#DIV/0!</v>
      </c>
      <c r="H6" s="79" t="s">
        <v>165</v>
      </c>
      <c r="I6" s="75"/>
    </row>
    <row r="7" spans="1:11">
      <c r="B7" s="34"/>
      <c r="C7" s="34"/>
      <c r="F7" s="25"/>
      <c r="G7" s="25"/>
      <c r="H7" s="25"/>
    </row>
    <row r="8" spans="1:11" ht="18">
      <c r="A8" s="25" t="s">
        <v>328</v>
      </c>
      <c r="C8" s="20" t="s">
        <v>111</v>
      </c>
      <c r="D8" t="s">
        <v>112</v>
      </c>
      <c r="G8" s="20" t="s">
        <v>111</v>
      </c>
      <c r="H8" t="s">
        <v>112</v>
      </c>
      <c r="J8" s="30"/>
    </row>
    <row r="9" spans="1:11">
      <c r="A9" s="27" t="s">
        <v>107</v>
      </c>
      <c r="C9" s="195">
        <f>100*B76</f>
        <v>60</v>
      </c>
      <c r="D9" s="121">
        <f>C9/'Food-related Resourses'!C66</f>
        <v>1.6216216216216217</v>
      </c>
      <c r="G9" s="38">
        <f>C9*'Calorie Planning Factors'!$B$4</f>
        <v>0</v>
      </c>
      <c r="H9" s="76">
        <f>G9/'Food-related Resourses'!C66</f>
        <v>0</v>
      </c>
    </row>
    <row r="10" spans="1:11">
      <c r="A10" s="27" t="s">
        <v>108</v>
      </c>
      <c r="C10" s="195">
        <f>15*B76</f>
        <v>9</v>
      </c>
      <c r="D10" s="121">
        <f>C10/'Food-related Resourses'!C71</f>
        <v>0.45</v>
      </c>
      <c r="G10" s="38">
        <f>C10*'Calorie Planning Factors'!$B$4</f>
        <v>0</v>
      </c>
      <c r="H10" s="76">
        <f>G10/'Food-related Resourses'!C71</f>
        <v>0</v>
      </c>
    </row>
    <row r="11" spans="1:11">
      <c r="A11" s="27" t="s">
        <v>15</v>
      </c>
      <c r="C11" s="195">
        <f>35*B76</f>
        <v>21</v>
      </c>
      <c r="D11" s="121">
        <f>C11/'Food-related Resourses'!C72</f>
        <v>0.58333333333333337</v>
      </c>
      <c r="G11" s="38">
        <f>C11*'Calorie Planning Factors'!$B$4</f>
        <v>0</v>
      </c>
      <c r="H11" s="76">
        <f>G11/'Food-related Resourses'!C72</f>
        <v>0</v>
      </c>
    </row>
    <row r="12" spans="1:11">
      <c r="A12" s="27" t="s">
        <v>17</v>
      </c>
      <c r="C12" s="195">
        <f>15*B76</f>
        <v>9</v>
      </c>
      <c r="D12" s="121">
        <f>C12/'Food-related Resourses'!C73</f>
        <v>0.42857142857142855</v>
      </c>
      <c r="G12" s="38">
        <f>C12*'Calorie Planning Factors'!$B$4</f>
        <v>0</v>
      </c>
      <c r="H12" s="76">
        <f>G12/'Food-related Resourses'!C73</f>
        <v>0</v>
      </c>
    </row>
    <row r="13" spans="1:11">
      <c r="A13" s="27" t="s">
        <v>109</v>
      </c>
      <c r="C13" s="195">
        <f>15*B76</f>
        <v>9</v>
      </c>
      <c r="D13" s="121">
        <f>C13/'Food-related Resourses'!C67</f>
        <v>0.27272727272727271</v>
      </c>
      <c r="G13" s="38">
        <f>C13*'Calorie Planning Factors'!$B$4</f>
        <v>0</v>
      </c>
      <c r="H13" s="76">
        <f>G13/'Food-related Resourses'!C67</f>
        <v>0</v>
      </c>
    </row>
    <row r="14" spans="1:11">
      <c r="A14" s="27" t="s">
        <v>110</v>
      </c>
      <c r="C14" s="195">
        <f>15*B76</f>
        <v>9</v>
      </c>
      <c r="D14" s="121">
        <f>C14/'Food-related Resourses'!C68</f>
        <v>0.27272727272727271</v>
      </c>
      <c r="G14" s="38">
        <f>C14*'Calorie Planning Factors'!$B$4</f>
        <v>0</v>
      </c>
      <c r="H14" s="76">
        <f>G14/'Food-related Resourses'!C68</f>
        <v>0</v>
      </c>
    </row>
    <row r="15" spans="1:11">
      <c r="A15" s="28" t="s">
        <v>106</v>
      </c>
      <c r="C15" s="195">
        <f>SUM(C8:C14)</f>
        <v>117</v>
      </c>
      <c r="D15" s="36"/>
      <c r="G15" s="38">
        <f>SUM(G8:G14)</f>
        <v>0</v>
      </c>
      <c r="H15" s="76">
        <f>SUM(H9:H14)</f>
        <v>0</v>
      </c>
    </row>
    <row r="17" spans="1:8" ht="18">
      <c r="A17" s="25" t="s">
        <v>329</v>
      </c>
      <c r="B17" s="20"/>
      <c r="C17" s="20" t="s">
        <v>111</v>
      </c>
      <c r="F17" s="20"/>
      <c r="G17" s="20" t="s">
        <v>111</v>
      </c>
    </row>
    <row r="18" spans="1:8">
      <c r="C18" s="36">
        <v>10</v>
      </c>
      <c r="G18" s="36">
        <f>C18*'Calorie Planning Factors'!$B$4</f>
        <v>0</v>
      </c>
    </row>
    <row r="20" spans="1:8" ht="18">
      <c r="A20" s="25" t="s">
        <v>330</v>
      </c>
    </row>
    <row r="21" spans="1:8">
      <c r="A21" s="27" t="s">
        <v>116</v>
      </c>
      <c r="B21" s="20" t="s">
        <v>121</v>
      </c>
      <c r="C21" s="36">
        <f>1*B77</f>
        <v>0.8</v>
      </c>
      <c r="G21" s="20" t="s">
        <v>121</v>
      </c>
      <c r="H21" s="36">
        <f>C21*'Calorie Planning Factors'!$B$4</f>
        <v>0</v>
      </c>
    </row>
    <row r="22" spans="1:8">
      <c r="A22" s="27" t="s">
        <v>117</v>
      </c>
      <c r="B22" s="20" t="s">
        <v>111</v>
      </c>
      <c r="C22" s="36">
        <f>2*B77</f>
        <v>1.6</v>
      </c>
      <c r="G22" s="20" t="s">
        <v>111</v>
      </c>
      <c r="H22" s="36">
        <f>C22*'Calorie Planning Factors'!$B$4</f>
        <v>0</v>
      </c>
    </row>
    <row r="23" spans="1:8">
      <c r="A23" s="27" t="s">
        <v>118</v>
      </c>
      <c r="B23" s="20" t="s">
        <v>122</v>
      </c>
      <c r="C23" s="36">
        <f>1*B77</f>
        <v>0.8</v>
      </c>
      <c r="G23" s="20" t="s">
        <v>122</v>
      </c>
      <c r="H23" s="36">
        <f>C23*'Calorie Planning Factors'!$B$4</f>
        <v>0</v>
      </c>
    </row>
    <row r="24" spans="1:8">
      <c r="A24" s="27" t="s">
        <v>119</v>
      </c>
      <c r="B24" s="20" t="s">
        <v>122</v>
      </c>
      <c r="C24" s="36">
        <f>1*B77</f>
        <v>0.8</v>
      </c>
      <c r="G24" s="20" t="s">
        <v>122</v>
      </c>
      <c r="H24" s="36">
        <f>C24*'Calorie Planning Factors'!$B$4</f>
        <v>0</v>
      </c>
    </row>
    <row r="25" spans="1:8">
      <c r="A25" s="27" t="s">
        <v>120</v>
      </c>
      <c r="B25" s="20" t="s">
        <v>111</v>
      </c>
      <c r="C25" s="36">
        <f>2*B77</f>
        <v>1.6</v>
      </c>
      <c r="G25" s="20" t="s">
        <v>111</v>
      </c>
      <c r="H25" s="36">
        <f>C25*'Calorie Planning Factors'!$B$4</f>
        <v>0</v>
      </c>
    </row>
    <row r="26" spans="1:8">
      <c r="A26" s="27" t="s">
        <v>266</v>
      </c>
      <c r="B26" s="23" t="s">
        <v>111</v>
      </c>
      <c r="C26" s="36">
        <f>1*B77</f>
        <v>0.8</v>
      </c>
      <c r="G26" s="23" t="s">
        <v>111</v>
      </c>
      <c r="H26" s="36">
        <f>C26*'Calorie Planning Factors'!$B$4</f>
        <v>0</v>
      </c>
    </row>
    <row r="27" spans="1:8">
      <c r="A27" s="28" t="s">
        <v>123</v>
      </c>
      <c r="B27" s="20"/>
      <c r="G27" s="20"/>
    </row>
    <row r="29" spans="1:8" ht="18">
      <c r="A29" s="25" t="s">
        <v>331</v>
      </c>
      <c r="C29" s="20" t="s">
        <v>111</v>
      </c>
      <c r="D29" t="s">
        <v>112</v>
      </c>
      <c r="G29" s="20" t="s">
        <v>111</v>
      </c>
      <c r="H29" t="s">
        <v>112</v>
      </c>
    </row>
    <row r="30" spans="1:8">
      <c r="A30" s="27" t="s">
        <v>125</v>
      </c>
      <c r="C30" s="36">
        <f>20*B77</f>
        <v>16</v>
      </c>
      <c r="D30" s="121">
        <f>C30/'Food-related Resourses'!C76</f>
        <v>0.45714285714285713</v>
      </c>
      <c r="G30" s="38">
        <f>C30*'Calorie Planning Factors'!$B$4</f>
        <v>0</v>
      </c>
      <c r="H30" s="76">
        <f>D30*'Calorie Planning Factors'!$B$4</f>
        <v>0</v>
      </c>
    </row>
    <row r="31" spans="1:8">
      <c r="A31" s="27" t="s">
        <v>126</v>
      </c>
      <c r="C31" s="36">
        <f>3*B77</f>
        <v>2.4000000000000004</v>
      </c>
      <c r="D31" s="121">
        <f>C31/'Food-related Resourses'!C79</f>
        <v>7.2727272727272738E-2</v>
      </c>
      <c r="G31" s="38">
        <f>C31*'Calorie Planning Factors'!$B$4</f>
        <v>0</v>
      </c>
      <c r="H31" s="76">
        <f>D31*'Calorie Planning Factors'!$B$4</f>
        <v>0</v>
      </c>
    </row>
    <row r="32" spans="1:8">
      <c r="A32" s="27" t="s">
        <v>127</v>
      </c>
      <c r="C32" s="36">
        <f>5*B77</f>
        <v>4</v>
      </c>
      <c r="D32" s="121">
        <f>C32/'Food-related Resourses'!C76</f>
        <v>0.11428571428571428</v>
      </c>
      <c r="G32" s="38">
        <f>C32*'Calorie Planning Factors'!$B$4</f>
        <v>0</v>
      </c>
      <c r="H32" s="76">
        <f>D32*'Calorie Planning Factors'!$B$4</f>
        <v>0</v>
      </c>
    </row>
    <row r="33" spans="1:8">
      <c r="A33" s="27" t="s">
        <v>128</v>
      </c>
      <c r="C33" s="36">
        <f>3*B77</f>
        <v>2.4000000000000004</v>
      </c>
      <c r="D33" s="121">
        <f>C33/'Food-related Resourses'!C80</f>
        <v>6.8571428571428575E-2</v>
      </c>
      <c r="G33" s="38">
        <f>C33*'Calorie Planning Factors'!$B$4</f>
        <v>0</v>
      </c>
      <c r="H33" s="76">
        <f>D33*'Calorie Planning Factors'!$B$4</f>
        <v>0</v>
      </c>
    </row>
    <row r="34" spans="1:8">
      <c r="A34" s="27" t="s">
        <v>130</v>
      </c>
      <c r="C34" s="36">
        <f>3*B77</f>
        <v>2.4000000000000004</v>
      </c>
      <c r="D34" s="121">
        <f>C34/'Food-related Resourses'!C77</f>
        <v>6.8571428571428575E-2</v>
      </c>
      <c r="G34" s="38">
        <f>C34*'Calorie Planning Factors'!$B$4</f>
        <v>0</v>
      </c>
      <c r="H34" s="76">
        <f>D34*'Calorie Planning Factors'!$B$4</f>
        <v>0</v>
      </c>
    </row>
    <row r="35" spans="1:8">
      <c r="A35" s="27" t="s">
        <v>129</v>
      </c>
      <c r="C35" s="36">
        <f>3*B77</f>
        <v>2.4000000000000004</v>
      </c>
      <c r="D35" s="121">
        <f>C35/'Food-related Resourses'!C74</f>
        <v>7.2727272727272738E-2</v>
      </c>
      <c r="G35" s="38">
        <f>C35*'Calorie Planning Factors'!$B$4</f>
        <v>0</v>
      </c>
      <c r="H35" s="76">
        <f>D35*'Calorie Planning Factors'!$B$4</f>
        <v>0</v>
      </c>
    </row>
    <row r="36" spans="1:8">
      <c r="A36" s="28" t="s">
        <v>135</v>
      </c>
      <c r="C36" s="36">
        <f>SUM(C30:C35)</f>
        <v>29.599999999999994</v>
      </c>
      <c r="D36" s="36"/>
      <c r="G36" s="38">
        <f>SUM(G30:G35)</f>
        <v>0</v>
      </c>
      <c r="H36" s="76">
        <f>SUM(H30:H35)</f>
        <v>0</v>
      </c>
    </row>
    <row r="38" spans="1:8" ht="18">
      <c r="A38" s="25" t="s">
        <v>332</v>
      </c>
      <c r="D38" t="s">
        <v>112</v>
      </c>
      <c r="H38" t="s">
        <v>112</v>
      </c>
    </row>
    <row r="39" spans="1:8">
      <c r="A39" s="27" t="s">
        <v>131</v>
      </c>
      <c r="B39" s="20" t="s">
        <v>111</v>
      </c>
      <c r="C39" s="36">
        <f>36*B77</f>
        <v>28.8</v>
      </c>
      <c r="D39" s="121">
        <f>C39/'Food-related Resourses'!C84</f>
        <v>0.99310344827586206</v>
      </c>
      <c r="F39" s="20" t="s">
        <v>111</v>
      </c>
      <c r="G39">
        <f>C40*'Calorie Planning Factors'!$B$4</f>
        <v>0</v>
      </c>
      <c r="H39" s="76">
        <f>D39*'Calorie Planning Factors'!$B$4</f>
        <v>0</v>
      </c>
    </row>
    <row r="40" spans="1:8">
      <c r="A40" s="27" t="s">
        <v>132</v>
      </c>
      <c r="B40" s="20" t="s">
        <v>134</v>
      </c>
      <c r="C40" s="36">
        <f>8*B77</f>
        <v>6.4</v>
      </c>
      <c r="D40" s="36"/>
      <c r="F40" s="20" t="s">
        <v>134</v>
      </c>
      <c r="G40">
        <f>C41*'Calorie Planning Factors'!$B$4</f>
        <v>0</v>
      </c>
    </row>
    <row r="41" spans="1:8">
      <c r="A41" s="27" t="s">
        <v>133</v>
      </c>
      <c r="B41" s="20" t="s">
        <v>111</v>
      </c>
      <c r="C41" s="36">
        <f>8*B77</f>
        <v>6.4</v>
      </c>
      <c r="D41" s="36"/>
      <c r="F41" s="20" t="s">
        <v>111</v>
      </c>
      <c r="G41">
        <f>C41*'Calorie Planning Factors'!$B$4</f>
        <v>0</v>
      </c>
    </row>
    <row r="42" spans="1:8">
      <c r="A42" s="28"/>
      <c r="B42" s="20"/>
      <c r="F42" s="20"/>
    </row>
    <row r="44" spans="1:8" ht="18">
      <c r="A44" s="25" t="s">
        <v>137</v>
      </c>
      <c r="C44" s="20" t="s">
        <v>111</v>
      </c>
      <c r="D44" t="s">
        <v>112</v>
      </c>
      <c r="G44" s="20" t="s">
        <v>111</v>
      </c>
      <c r="H44" t="s">
        <v>112</v>
      </c>
    </row>
    <row r="45" spans="1:8">
      <c r="A45" s="27" t="s">
        <v>138</v>
      </c>
      <c r="C45" s="36">
        <f>20*B77</f>
        <v>16</v>
      </c>
      <c r="D45" s="121">
        <f>C45/'Food-related Resourses'!C82</f>
        <v>0.45714285714285713</v>
      </c>
      <c r="G45" s="38">
        <f>C45*'Calorie Planning Factors'!$B$4</f>
        <v>0</v>
      </c>
      <c r="H45" s="76">
        <f>D45*'Calorie Planning Factors'!$B$4</f>
        <v>0</v>
      </c>
    </row>
    <row r="46" spans="1:8">
      <c r="A46" s="27" t="s">
        <v>139</v>
      </c>
      <c r="C46" s="36">
        <f>2*B77</f>
        <v>1.6</v>
      </c>
      <c r="D46" s="36"/>
      <c r="G46" s="38">
        <f>C46*'Calorie Planning Factors'!$B$4</f>
        <v>0</v>
      </c>
      <c r="H46" s="36"/>
    </row>
    <row r="47" spans="1:8">
      <c r="A47" s="27" t="s">
        <v>140</v>
      </c>
      <c r="C47" s="36">
        <f>3*B77</f>
        <v>2.4000000000000004</v>
      </c>
      <c r="D47" s="36"/>
      <c r="G47" s="38">
        <f>C47*'Calorie Planning Factors'!$B$4</f>
        <v>0</v>
      </c>
      <c r="H47" s="36"/>
    </row>
    <row r="48" spans="1:8">
      <c r="A48" s="27" t="s">
        <v>141</v>
      </c>
      <c r="C48" s="36">
        <f>2*B77</f>
        <v>1.6</v>
      </c>
      <c r="D48" s="122">
        <f>C48/'Food-related Resourses'!C83</f>
        <v>4.8484848484848485E-2</v>
      </c>
      <c r="G48" s="38">
        <f>C48*'Calorie Planning Factors'!$B$4</f>
        <v>0</v>
      </c>
      <c r="H48" s="76">
        <f>D48*'Calorie Planning Factors'!$B$4</f>
        <v>0</v>
      </c>
    </row>
    <row r="49" spans="1:8">
      <c r="A49" s="27" t="s">
        <v>142</v>
      </c>
      <c r="C49" s="36">
        <f>1*B77</f>
        <v>0.8</v>
      </c>
      <c r="D49" s="36"/>
      <c r="G49" s="38">
        <f>C49*'Calorie Planning Factors'!$B$4</f>
        <v>0</v>
      </c>
      <c r="H49" s="36"/>
    </row>
    <row r="50" spans="1:8">
      <c r="A50" s="27" t="s">
        <v>143</v>
      </c>
      <c r="C50" s="36">
        <f>2*B77</f>
        <v>1.6</v>
      </c>
      <c r="D50" s="36"/>
      <c r="G50" s="38">
        <f>C50*'Calorie Planning Factors'!$B$4</f>
        <v>0</v>
      </c>
      <c r="H50" s="36"/>
    </row>
    <row r="51" spans="1:8">
      <c r="A51" s="27" t="s">
        <v>144</v>
      </c>
      <c r="C51" s="36">
        <f>1*B77</f>
        <v>0.8</v>
      </c>
      <c r="D51" s="36"/>
      <c r="G51" s="38">
        <f>C51*'Calorie Planning Factors'!$B$4</f>
        <v>0</v>
      </c>
      <c r="H51" s="36"/>
    </row>
    <row r="52" spans="1:8">
      <c r="A52" s="27" t="s">
        <v>145</v>
      </c>
      <c r="C52" s="36">
        <f>1*B77</f>
        <v>0.8</v>
      </c>
      <c r="D52" s="36"/>
      <c r="G52" s="38">
        <f>C52*'Calorie Planning Factors'!$B$4</f>
        <v>0</v>
      </c>
      <c r="H52" s="36"/>
    </row>
    <row r="53" spans="1:8">
      <c r="A53" s="28" t="s">
        <v>146</v>
      </c>
      <c r="C53" s="36">
        <f>SUM(C45:C52)</f>
        <v>25.600000000000005</v>
      </c>
      <c r="D53" s="36"/>
      <c r="G53" s="38">
        <f>SUM(G45:G52)</f>
        <v>0</v>
      </c>
      <c r="H53" s="36"/>
    </row>
    <row r="54" spans="1:8">
      <c r="A54" s="27"/>
    </row>
    <row r="55" spans="1:8" ht="18">
      <c r="A55" s="29" t="s">
        <v>333</v>
      </c>
      <c r="D55" t="s">
        <v>112</v>
      </c>
      <c r="H55" t="s">
        <v>112</v>
      </c>
    </row>
    <row r="56" spans="1:8">
      <c r="A56" s="27" t="s">
        <v>147</v>
      </c>
      <c r="B56" s="20" t="s">
        <v>111</v>
      </c>
      <c r="C56" s="36">
        <v>3</v>
      </c>
      <c r="D56" s="36">
        <f>C56/'Food-related Resourses'!C86</f>
        <v>0.06</v>
      </c>
      <c r="F56" s="20" t="s">
        <v>111</v>
      </c>
      <c r="G56" s="38">
        <f>C56*'Calorie Planning Factors'!$B$4</f>
        <v>0</v>
      </c>
      <c r="H56" s="76">
        <f>D56*'Calorie Planning Factors'!$B$4</f>
        <v>0</v>
      </c>
    </row>
    <row r="57" spans="1:8">
      <c r="A57" s="27" t="s">
        <v>148</v>
      </c>
      <c r="B57" s="20" t="s">
        <v>111</v>
      </c>
      <c r="C57" s="36">
        <v>1</v>
      </c>
      <c r="D57" s="122">
        <f>C57/'Food-related Resourses'!C88</f>
        <v>3.0303030303030304E-2</v>
      </c>
      <c r="F57" s="20" t="s">
        <v>111</v>
      </c>
      <c r="G57" s="38">
        <f>C57*'Calorie Planning Factors'!$B$4</f>
        <v>0</v>
      </c>
      <c r="H57" s="76">
        <f>D57*'Calorie Planning Factors'!$B$4</f>
        <v>0</v>
      </c>
    </row>
    <row r="58" spans="1:8">
      <c r="A58" s="27" t="s">
        <v>149</v>
      </c>
      <c r="B58" s="20" t="s">
        <v>111</v>
      </c>
      <c r="C58" s="36">
        <v>1</v>
      </c>
      <c r="D58" s="122">
        <f>C58/'Food-related Resourses'!C89</f>
        <v>3.0303030303030304E-2</v>
      </c>
      <c r="F58" s="20" t="s">
        <v>111</v>
      </c>
      <c r="G58" s="38">
        <f>C58*'Calorie Planning Factors'!$B$4</f>
        <v>0</v>
      </c>
      <c r="H58" s="76">
        <f>D58*'Calorie Planning Factors'!$B$4</f>
        <v>0</v>
      </c>
    </row>
    <row r="59" spans="1:8">
      <c r="A59" s="27" t="s">
        <v>150</v>
      </c>
      <c r="B59" s="20" t="s">
        <v>111</v>
      </c>
      <c r="C59" s="36">
        <v>1</v>
      </c>
      <c r="D59" s="122">
        <f>C59/'Food-related Resourses'!C90</f>
        <v>3.0303030303030304E-2</v>
      </c>
      <c r="F59" s="20" t="s">
        <v>111</v>
      </c>
      <c r="G59" s="38">
        <f>C59*'Calorie Planning Factors'!$B$4</f>
        <v>0</v>
      </c>
      <c r="H59" s="76">
        <f>D59*'Calorie Planning Factors'!$B$4</f>
        <v>0</v>
      </c>
    </row>
    <row r="60" spans="1:8">
      <c r="A60" s="27" t="s">
        <v>151</v>
      </c>
      <c r="B60" s="20" t="s">
        <v>121</v>
      </c>
      <c r="C60" s="36">
        <v>1</v>
      </c>
      <c r="D60" s="36"/>
      <c r="F60" s="20" t="s">
        <v>121</v>
      </c>
      <c r="G60" s="38">
        <f>C60*'Calorie Planning Factors'!$B$4</f>
        <v>0</v>
      </c>
      <c r="H60" s="36"/>
    </row>
    <row r="61" spans="1:8">
      <c r="A61" s="27"/>
      <c r="C61" s="36"/>
      <c r="D61" s="36"/>
      <c r="G61" s="38"/>
      <c r="H61" s="36"/>
    </row>
    <row r="62" spans="1:8" ht="17.399999999999999">
      <c r="A62" s="29" t="s">
        <v>334</v>
      </c>
      <c r="C62" s="36"/>
      <c r="D62" s="36"/>
      <c r="G62" s="38"/>
      <c r="H62" s="36"/>
    </row>
    <row r="63" spans="1:8">
      <c r="A63" s="27" t="s">
        <v>153</v>
      </c>
      <c r="B63" s="20" t="s">
        <v>122</v>
      </c>
      <c r="C63" s="36">
        <f>160*B77</f>
        <v>128</v>
      </c>
      <c r="D63" s="36"/>
      <c r="F63" s="20" t="s">
        <v>122</v>
      </c>
      <c r="G63" s="38">
        <f>C63*'Calorie Planning Factors'!$B$4</f>
        <v>0</v>
      </c>
      <c r="H63" s="36"/>
    </row>
    <row r="64" spans="1:8">
      <c r="A64" s="27" t="s">
        <v>154</v>
      </c>
      <c r="B64" s="20" t="s">
        <v>111</v>
      </c>
      <c r="C64" s="36">
        <f>45*B77</f>
        <v>36</v>
      </c>
      <c r="D64" s="36"/>
      <c r="F64" s="20" t="s">
        <v>111</v>
      </c>
      <c r="G64" s="38">
        <f>C64*'Calorie Planning Factors'!$B$4</f>
        <v>0</v>
      </c>
      <c r="H64" s="36"/>
    </row>
    <row r="65" spans="1:7">
      <c r="A65" s="27"/>
      <c r="B65" s="23"/>
      <c r="F65" s="23"/>
      <c r="G65" s="17"/>
    </row>
    <row r="67" spans="1:7" ht="18">
      <c r="A67" t="s">
        <v>335</v>
      </c>
    </row>
    <row r="68" spans="1:7" ht="18">
      <c r="A68" t="s">
        <v>336</v>
      </c>
    </row>
    <row r="69" spans="1:7" ht="18">
      <c r="A69" t="s">
        <v>113</v>
      </c>
    </row>
    <row r="70" spans="1:7" ht="67.05" customHeight="1">
      <c r="A70" s="470" t="s">
        <v>114</v>
      </c>
      <c r="B70" s="470"/>
      <c r="C70" s="470"/>
      <c r="D70" s="470"/>
      <c r="E70" s="470"/>
      <c r="F70" s="470"/>
    </row>
    <row r="71" spans="1:7" ht="18">
      <c r="A71" t="s">
        <v>115</v>
      </c>
    </row>
    <row r="72" spans="1:7" ht="18">
      <c r="A72" t="s">
        <v>124</v>
      </c>
    </row>
    <row r="73" spans="1:7" ht="18">
      <c r="A73" t="s">
        <v>136</v>
      </c>
    </row>
    <row r="74" spans="1:7" ht="82.05" customHeight="1">
      <c r="A74" s="470" t="s">
        <v>152</v>
      </c>
      <c r="B74" s="470"/>
      <c r="C74" s="470"/>
      <c r="D74" s="470"/>
      <c r="E74" s="470"/>
      <c r="F74" s="470"/>
      <c r="G74" s="470"/>
    </row>
    <row r="76" spans="1:7">
      <c r="A76" t="s">
        <v>497</v>
      </c>
      <c r="B76">
        <v>0.6</v>
      </c>
    </row>
    <row r="77" spans="1:7">
      <c r="A77" t="s">
        <v>498</v>
      </c>
      <c r="B77">
        <v>0.8</v>
      </c>
    </row>
  </sheetData>
  <sheetProtection algorithmName="SHA-512" hashValue="SrSR0Wn2X4E9ixd/r3iZoQK44jVkvYkyE5VY5Ljcdu1kCEbBGlmcW9Ccp4WBu6gl6fFOdVM297W9MfMODaFuyQ==" saltValue="9XgDzwmw8b8XbNvM9VfpOQ==" spinCount="100000" sheet="1" objects="1" scenarios="1" selectLockedCells="1" selectUnlockedCells="1"/>
  <mergeCells count="6">
    <mergeCell ref="A1:I1"/>
    <mergeCell ref="A70:F70"/>
    <mergeCell ref="A74:G74"/>
    <mergeCell ref="B5:C5"/>
    <mergeCell ref="G5:H5"/>
    <mergeCell ref="A2:G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6"/>
  <sheetViews>
    <sheetView zoomScaleNormal="100" workbookViewId="0">
      <selection activeCell="B13" sqref="B13"/>
    </sheetView>
  </sheetViews>
  <sheetFormatPr defaultColWidth="11.19921875" defaultRowHeight="15.6"/>
  <cols>
    <col min="1" max="1" width="44.19921875" customWidth="1"/>
    <col min="2" max="2" width="11.5" bestFit="1" customWidth="1"/>
    <col min="3" max="3" width="13.796875" customWidth="1"/>
    <col min="4" max="4" width="17" customWidth="1"/>
    <col min="5" max="5" width="14" bestFit="1" customWidth="1"/>
    <col min="6" max="6" width="13.69921875" customWidth="1"/>
    <col min="7" max="7" width="11.69921875" bestFit="1" customWidth="1"/>
    <col min="10" max="12" width="12" customWidth="1"/>
    <col min="13" max="16" width="15.69921875" customWidth="1"/>
    <col min="17" max="17" width="13.19921875" bestFit="1" customWidth="1"/>
    <col min="18" max="18" width="13.796875" bestFit="1" customWidth="1"/>
    <col min="19" max="19" width="11.69921875" bestFit="1" customWidth="1"/>
    <col min="23" max="24" width="11.5" bestFit="1" customWidth="1"/>
    <col min="25" max="25" width="12.5" bestFit="1" customWidth="1"/>
  </cols>
  <sheetData>
    <row r="1" spans="1:2" ht="25.8">
      <c r="A1" s="61" t="s">
        <v>230</v>
      </c>
    </row>
    <row r="3" spans="1:2" ht="18">
      <c r="A3" s="64" t="s">
        <v>236</v>
      </c>
    </row>
    <row r="4" spans="1:2" ht="18">
      <c r="A4" s="39" t="s">
        <v>95</v>
      </c>
      <c r="B4" s="117">
        <f>Inputs!C17</f>
        <v>0</v>
      </c>
    </row>
    <row r="5" spans="1:2" ht="18">
      <c r="A5" s="39" t="s">
        <v>96</v>
      </c>
      <c r="B5" s="118" t="e">
        <f>B7/B4</f>
        <v>#DIV/0!</v>
      </c>
    </row>
    <row r="6" spans="1:2" ht="18">
      <c r="A6" s="70" t="s">
        <v>97</v>
      </c>
      <c r="B6" s="118" t="e">
        <f>1-B5</f>
        <v>#DIV/0!</v>
      </c>
    </row>
    <row r="7" spans="1:2" ht="18">
      <c r="A7" s="63" t="s">
        <v>88</v>
      </c>
      <c r="B7" s="119">
        <f>Inputs!C18</f>
        <v>0</v>
      </c>
    </row>
    <row r="8" spans="1:2" ht="18">
      <c r="A8" s="63" t="s">
        <v>89</v>
      </c>
      <c r="B8" s="119">
        <f>Inputs!C19</f>
        <v>0</v>
      </c>
    </row>
    <row r="9" spans="1:2" ht="18">
      <c r="A9" s="56"/>
      <c r="B9" s="56"/>
    </row>
    <row r="10" spans="1:2" ht="18">
      <c r="A10" s="56"/>
      <c r="B10" s="56"/>
    </row>
    <row r="11" spans="1:2" ht="18">
      <c r="A11" s="56"/>
      <c r="B11" s="56"/>
    </row>
    <row r="12" spans="1:2" ht="18">
      <c r="A12" s="65" t="s">
        <v>235</v>
      </c>
      <c r="B12" s="56"/>
    </row>
    <row r="13" spans="1:2" ht="18">
      <c r="A13" s="63" t="s">
        <v>231</v>
      </c>
      <c r="B13" s="56">
        <v>30.416699999999999</v>
      </c>
    </row>
    <row r="14" spans="1:2" ht="18">
      <c r="A14" s="63" t="s">
        <v>232</v>
      </c>
      <c r="B14" s="56">
        <v>12</v>
      </c>
    </row>
    <row r="15" spans="1:2" ht="18">
      <c r="A15" s="63" t="s">
        <v>233</v>
      </c>
      <c r="B15" s="56">
        <v>365</v>
      </c>
    </row>
    <row r="16" spans="1:2" ht="18">
      <c r="B16" s="56"/>
    </row>
    <row r="17" spans="1:25" ht="85.05" customHeight="1">
      <c r="A17" s="69" t="s">
        <v>346</v>
      </c>
      <c r="B17" s="56"/>
      <c r="D17" t="s">
        <v>448</v>
      </c>
      <c r="E17" s="22" t="s">
        <v>441</v>
      </c>
      <c r="F17" t="s">
        <v>453</v>
      </c>
      <c r="G17" s="22" t="s">
        <v>442</v>
      </c>
      <c r="H17" s="22" t="s">
        <v>443</v>
      </c>
      <c r="I17" s="22" t="s">
        <v>444</v>
      </c>
      <c r="J17" s="22" t="s">
        <v>445</v>
      </c>
      <c r="K17" s="22" t="s">
        <v>455</v>
      </c>
      <c r="L17" s="22" t="s">
        <v>446</v>
      </c>
      <c r="M17" s="22" t="s">
        <v>447</v>
      </c>
      <c r="N17" s="22" t="s">
        <v>450</v>
      </c>
      <c r="O17" s="22" t="s">
        <v>456</v>
      </c>
      <c r="P17" s="22" t="s">
        <v>454</v>
      </c>
      <c r="Q17" s="22" t="s">
        <v>451</v>
      </c>
      <c r="R17" s="22" t="s">
        <v>452</v>
      </c>
      <c r="S17" s="22" t="s">
        <v>449</v>
      </c>
      <c r="U17" s="22" t="s">
        <v>457</v>
      </c>
      <c r="V17" s="22" t="s">
        <v>458</v>
      </c>
      <c r="W17" s="22" t="s">
        <v>459</v>
      </c>
      <c r="X17" s="22" t="s">
        <v>460</v>
      </c>
      <c r="Y17" s="22" t="s">
        <v>461</v>
      </c>
    </row>
    <row r="18" spans="1:25" ht="45" customHeight="1">
      <c r="A18" s="44" t="s">
        <v>344</v>
      </c>
      <c r="B18" s="120">
        <f>'Calorie Sources Data'!C126</f>
        <v>2704.1095890410961</v>
      </c>
      <c r="D18">
        <v>12</v>
      </c>
      <c r="E18" s="15">
        <v>130</v>
      </c>
      <c r="F18" s="15">
        <f>E18/D18</f>
        <v>10.833333333333334</v>
      </c>
      <c r="G18" s="31">
        <f>B18/1250</f>
        <v>2.1632876712328768</v>
      </c>
      <c r="H18" s="163">
        <f>G18*$B$13</f>
        <v>65.800072109589038</v>
      </c>
      <c r="I18" s="37">
        <f>H18*12</f>
        <v>789.6008653150684</v>
      </c>
      <c r="J18" s="37">
        <f>I18/$D$18</f>
        <v>65.800072109589038</v>
      </c>
      <c r="K18" s="15">
        <f>G18*$F$18</f>
        <v>23.435616438356167</v>
      </c>
      <c r="L18" s="169">
        <f>J18*$E$18</f>
        <v>8554.0093742465742</v>
      </c>
      <c r="M18" s="18">
        <f>I18*B7</f>
        <v>0</v>
      </c>
      <c r="N18" s="18">
        <f>M18/$D$18</f>
        <v>0</v>
      </c>
      <c r="O18" s="21">
        <f>K18*B7</f>
        <v>0</v>
      </c>
      <c r="P18" s="21">
        <f>N18*E18</f>
        <v>0</v>
      </c>
      <c r="Q18" s="37">
        <f>(40*12)/9.9</f>
        <v>48.484848484848484</v>
      </c>
      <c r="R18">
        <f>54*48</f>
        <v>2592</v>
      </c>
      <c r="S18" s="19">
        <f>N20/R18</f>
        <v>0</v>
      </c>
      <c r="U18" s="313" t="e">
        <f>'Outputs 2 - Food Source 1'!K13*0.75</f>
        <v>#DIV/0!</v>
      </c>
      <c r="V18" s="21" t="e">
        <f>U18*B7</f>
        <v>#DIV/0!</v>
      </c>
      <c r="W18" s="169" t="e">
        <f>V18*$B$13</f>
        <v>#DIV/0!</v>
      </c>
      <c r="X18" s="169" t="e">
        <f>W18*6</f>
        <v>#DIV/0!</v>
      </c>
      <c r="Y18" s="169" t="e">
        <f>W18*12</f>
        <v>#DIV/0!</v>
      </c>
    </row>
    <row r="19" spans="1:25" ht="43.95" customHeight="1">
      <c r="A19" s="44" t="s">
        <v>343</v>
      </c>
      <c r="B19" s="120">
        <f>'Calorie Sources Data'!C127</f>
        <v>2052.0547945205481</v>
      </c>
      <c r="G19" s="31">
        <f>B19/1250</f>
        <v>1.6416438356164385</v>
      </c>
      <c r="H19" s="163">
        <f>G19*$B$13</f>
        <v>49.93338805479452</v>
      </c>
      <c r="I19" s="37">
        <f>H19*12</f>
        <v>599.20065665753418</v>
      </c>
      <c r="J19" s="37">
        <f>I19/$D$18</f>
        <v>49.933388054794513</v>
      </c>
      <c r="K19" s="15">
        <f>G19*$F$18</f>
        <v>17.784474885844752</v>
      </c>
      <c r="L19" s="169">
        <f>J19*$E$18</f>
        <v>6491.340447123287</v>
      </c>
      <c r="M19" s="18">
        <f>I19*B8</f>
        <v>0</v>
      </c>
      <c r="N19" s="18">
        <f>M19/$D$18</f>
        <v>0</v>
      </c>
      <c r="O19" s="21">
        <f>K19*B8</f>
        <v>0</v>
      </c>
      <c r="P19" s="21">
        <f>N19*E18</f>
        <v>0</v>
      </c>
      <c r="Q19" s="37"/>
      <c r="U19" s="313" t="e">
        <f>'Outputs 2 - Food Source 1'!L13*0.75</f>
        <v>#DIV/0!</v>
      </c>
      <c r="V19" s="21" t="e">
        <f>U19*B8</f>
        <v>#DIV/0!</v>
      </c>
      <c r="W19" s="169" t="e">
        <f>V19*$B$13</f>
        <v>#DIV/0!</v>
      </c>
      <c r="X19" s="169" t="e">
        <f>W19*6</f>
        <v>#DIV/0!</v>
      </c>
      <c r="Y19" s="169" t="e">
        <f>W19*12</f>
        <v>#DIV/0!</v>
      </c>
    </row>
    <row r="20" spans="1:25">
      <c r="B20" s="17"/>
      <c r="C20" s="18"/>
      <c r="D20" s="17"/>
      <c r="G20" s="31">
        <f>SUM(G18:G19)</f>
        <v>3.8049315068493152</v>
      </c>
      <c r="H20" s="163">
        <f>SUM(H18:H19)</f>
        <v>115.73346016438356</v>
      </c>
      <c r="I20" s="17">
        <f>SUM(I18:I19)</f>
        <v>1388.8015219726026</v>
      </c>
      <c r="J20" s="37"/>
      <c r="K20" s="37"/>
      <c r="M20" s="18">
        <f>SUM(M18:M19)</f>
        <v>0</v>
      </c>
      <c r="N20" s="18">
        <f>SUM(N18:N19)</f>
        <v>0</v>
      </c>
      <c r="O20" s="18">
        <f>SUM(O18:O19)</f>
        <v>0</v>
      </c>
      <c r="P20" s="21">
        <f>SUM(P18:P19)</f>
        <v>0</v>
      </c>
      <c r="V20" s="315" t="e">
        <f>SUM(V18:V19)</f>
        <v>#DIV/0!</v>
      </c>
      <c r="W20" s="315" t="e">
        <f>SUM(W18:W19)</f>
        <v>#DIV/0!</v>
      </c>
      <c r="X20" s="315" t="e">
        <f>SUM(X18:X19)</f>
        <v>#DIV/0!</v>
      </c>
      <c r="Y20" s="315" t="e">
        <f>SUM(Y18:Y19)</f>
        <v>#DIV/0!</v>
      </c>
    </row>
    <row r="21" spans="1:25" ht="18">
      <c r="A21" t="s">
        <v>347</v>
      </c>
      <c r="C21" s="18"/>
      <c r="D21" s="17"/>
      <c r="M21" s="19"/>
    </row>
    <row r="22" spans="1:25" ht="18">
      <c r="A22" t="s">
        <v>345</v>
      </c>
      <c r="C22" s="18"/>
      <c r="D22" s="17"/>
      <c r="L22" s="314"/>
    </row>
    <row r="23" spans="1:25">
      <c r="C23" s="18"/>
      <c r="D23" s="17"/>
      <c r="L23" s="314"/>
    </row>
    <row r="24" spans="1:25">
      <c r="C24" s="14"/>
      <c r="D24" s="17"/>
    </row>
    <row r="25" spans="1:25">
      <c r="A25" t="s">
        <v>239</v>
      </c>
      <c r="B25" s="6" t="s">
        <v>93</v>
      </c>
      <c r="C25" s="6" t="s">
        <v>234</v>
      </c>
      <c r="D25" s="6" t="s">
        <v>245</v>
      </c>
      <c r="E25" s="23" t="s">
        <v>94</v>
      </c>
      <c r="F25" s="23" t="s">
        <v>522</v>
      </c>
    </row>
    <row r="26" spans="1:25">
      <c r="A26" t="s">
        <v>237</v>
      </c>
      <c r="B26" s="17">
        <f>'Calorie Sources Data'!C126</f>
        <v>2704.1095890410961</v>
      </c>
      <c r="C26" s="18">
        <f>B26*B13</f>
        <v>82250.090136986299</v>
      </c>
      <c r="D26" s="17">
        <f>C26*6</f>
        <v>493500.54082191782</v>
      </c>
      <c r="E26" s="17">
        <f>B26*B15</f>
        <v>987000.00000000012</v>
      </c>
      <c r="F26" s="41">
        <f>B26*7</f>
        <v>18928.767123287675</v>
      </c>
    </row>
    <row r="27" spans="1:25">
      <c r="A27" t="s">
        <v>238</v>
      </c>
      <c r="B27" s="17">
        <f>'Calorie Sources Data'!C127</f>
        <v>2052.0547945205481</v>
      </c>
      <c r="C27" s="18">
        <f>B27*B13</f>
        <v>62416.735068493152</v>
      </c>
      <c r="D27" s="17">
        <f>C27*6</f>
        <v>374500.41041095892</v>
      </c>
      <c r="E27" s="17">
        <f>B27*B15</f>
        <v>749000</v>
      </c>
      <c r="F27" s="41">
        <f>B27*7</f>
        <v>14364.383561643837</v>
      </c>
    </row>
    <row r="28" spans="1:25">
      <c r="A28" t="s">
        <v>90</v>
      </c>
      <c r="B28" s="17"/>
      <c r="C28" s="18"/>
      <c r="D28" s="17"/>
      <c r="E28" s="17"/>
    </row>
    <row r="29" spans="1:25">
      <c r="B29" s="17"/>
      <c r="C29" s="18"/>
      <c r="D29" s="17"/>
      <c r="E29" s="17"/>
    </row>
    <row r="30" spans="1:25">
      <c r="A30" t="s">
        <v>246</v>
      </c>
      <c r="B30" s="23" t="s">
        <v>93</v>
      </c>
      <c r="C30" s="23" t="s">
        <v>234</v>
      </c>
      <c r="D30" s="23" t="s">
        <v>245</v>
      </c>
      <c r="E30" s="23" t="s">
        <v>94</v>
      </c>
      <c r="F30" s="23" t="s">
        <v>522</v>
      </c>
    </row>
    <row r="31" spans="1:25">
      <c r="A31" s="63" t="s">
        <v>247</v>
      </c>
      <c r="B31" s="17" t="e">
        <f>((B26*B7)+(B27*B8))/B4</f>
        <v>#DIV/0!</v>
      </c>
      <c r="C31" s="18" t="e">
        <f>B31*B13</f>
        <v>#DIV/0!</v>
      </c>
      <c r="D31" s="17" t="e">
        <f>C31*6</f>
        <v>#DIV/0!</v>
      </c>
      <c r="E31" s="17" t="e">
        <f>C31*12</f>
        <v>#DIV/0!</v>
      </c>
      <c r="F31" s="18" t="e">
        <f>B31*7</f>
        <v>#DIV/0!</v>
      </c>
    </row>
    <row r="32" spans="1:25">
      <c r="A32" s="63" t="e">
        <f ca="1">_xlfn.CONCAT("For ",B4," Total Members")</f>
        <v>#NAME?</v>
      </c>
      <c r="B32" s="17" t="e">
        <f>$B$4*B31</f>
        <v>#DIV/0!</v>
      </c>
      <c r="C32" s="17" t="e">
        <f t="shared" ref="C32:E32" si="0">$B$4*C31</f>
        <v>#DIV/0!</v>
      </c>
      <c r="D32" s="17" t="e">
        <f>$B$4*D31</f>
        <v>#DIV/0!</v>
      </c>
      <c r="E32" s="17" t="e">
        <f t="shared" si="0"/>
        <v>#DIV/0!</v>
      </c>
      <c r="F32" s="18" t="e">
        <f>B32*7</f>
        <v>#DIV/0!</v>
      </c>
    </row>
    <row r="33" spans="1:19">
      <c r="B33" s="17"/>
      <c r="C33" s="18"/>
      <c r="D33" s="17"/>
      <c r="E33" s="17"/>
    </row>
    <row r="34" spans="1:19">
      <c r="B34" s="17"/>
      <c r="C34" s="18"/>
      <c r="D34" s="17"/>
      <c r="E34" s="17"/>
    </row>
    <row r="35" spans="1:19" ht="16.05" customHeight="1">
      <c r="G35" s="512" t="s">
        <v>242</v>
      </c>
      <c r="H35" s="513"/>
      <c r="I35" s="513"/>
      <c r="J35" s="513"/>
      <c r="K35" s="513"/>
      <c r="L35" s="513"/>
      <c r="M35" s="514"/>
      <c r="N35" s="519" t="e">
        <f ca="1">_xlfn.CONCAT("For ",B4," Total Members")</f>
        <v>#NAME?</v>
      </c>
      <c r="O35" s="520"/>
      <c r="P35" s="520"/>
      <c r="Q35" s="520"/>
      <c r="R35" s="520"/>
      <c r="S35" s="521"/>
    </row>
    <row r="36" spans="1:19" ht="16.05" customHeight="1">
      <c r="G36" s="522" t="s">
        <v>100</v>
      </c>
      <c r="H36" s="523"/>
      <c r="I36" s="524" t="s">
        <v>103</v>
      </c>
      <c r="J36" s="524"/>
      <c r="K36" s="67"/>
      <c r="L36" s="515" t="s">
        <v>105</v>
      </c>
      <c r="M36" s="516"/>
      <c r="N36" s="522" t="s">
        <v>100</v>
      </c>
      <c r="O36" s="523"/>
      <c r="P36" s="523"/>
      <c r="Q36" s="523"/>
      <c r="R36" s="517" t="s">
        <v>104</v>
      </c>
      <c r="S36" s="518"/>
    </row>
    <row r="37" spans="1:19" ht="31.2">
      <c r="A37" t="s">
        <v>240</v>
      </c>
      <c r="E37" s="22" t="s">
        <v>241</v>
      </c>
      <c r="F37" s="16" t="s">
        <v>91</v>
      </c>
      <c r="G37" s="16" t="s">
        <v>98</v>
      </c>
      <c r="H37" t="s">
        <v>99</v>
      </c>
      <c r="I37" s="16" t="s">
        <v>98</v>
      </c>
      <c r="J37" t="s">
        <v>99</v>
      </c>
      <c r="L37" s="6" t="s">
        <v>98</v>
      </c>
      <c r="M37" s="6" t="s">
        <v>99</v>
      </c>
      <c r="N37" s="6" t="s">
        <v>101</v>
      </c>
      <c r="O37" s="23"/>
      <c r="P37" s="23"/>
      <c r="Q37" s="6" t="s">
        <v>102</v>
      </c>
      <c r="R37" s="6" t="s">
        <v>101</v>
      </c>
      <c r="S37" s="6" t="s">
        <v>102</v>
      </c>
    </row>
    <row r="38" spans="1:19">
      <c r="A38" t="s">
        <v>361</v>
      </c>
      <c r="E38" s="230">
        <f>Inputs!C22</f>
        <v>0</v>
      </c>
      <c r="F38" s="37">
        <f>12*$E38</f>
        <v>0</v>
      </c>
      <c r="G38" s="18">
        <f>$B$26*(F38*30.4167)</f>
        <v>0</v>
      </c>
      <c r="H38" s="18">
        <f>$B$27*(F38*30.4167)</f>
        <v>0</v>
      </c>
      <c r="I38" s="21">
        <f>'Food-related Resourses'!F49*G38</f>
        <v>0</v>
      </c>
      <c r="J38" s="21">
        <f>'Food-related Resourses'!F49*H38</f>
        <v>0</v>
      </c>
      <c r="K38" s="21"/>
      <c r="L38" s="15" t="e">
        <f>I38/(F38*B13)</f>
        <v>#DIV/0!</v>
      </c>
      <c r="M38" s="15" t="e">
        <f>J38/(F38*B13)</f>
        <v>#DIV/0!</v>
      </c>
      <c r="N38" s="17">
        <f>$B$7*G38</f>
        <v>0</v>
      </c>
      <c r="O38" s="17"/>
      <c r="P38" s="17"/>
      <c r="Q38" s="17">
        <f>$B$8*H38</f>
        <v>0</v>
      </c>
      <c r="R38" s="21">
        <f>$B$7*I38</f>
        <v>0</v>
      </c>
      <c r="S38" s="21">
        <f>$B$8*J38</f>
        <v>0</v>
      </c>
    </row>
    <row r="39" spans="1:19">
      <c r="A39" t="s">
        <v>362</v>
      </c>
      <c r="E39" s="230">
        <f>Inputs!C24</f>
        <v>0</v>
      </c>
      <c r="F39" s="37">
        <f t="shared" ref="F39:F40" si="1">12*$E39</f>
        <v>0</v>
      </c>
      <c r="G39" s="18">
        <f>$B$26*(F39*30.4167)</f>
        <v>0</v>
      </c>
      <c r="H39" s="18">
        <f>$B$27*(F39*30.4167)</f>
        <v>0</v>
      </c>
      <c r="I39" s="18">
        <f>('Food-related Resourses'!F49*G39)*0.7</f>
        <v>0</v>
      </c>
      <c r="J39" s="18">
        <f>('Food-related Resourses'!F49*H39)*0.7</f>
        <v>0</v>
      </c>
      <c r="K39" s="18"/>
      <c r="N39" s="17">
        <f>$B$7*G39</f>
        <v>0</v>
      </c>
      <c r="O39" s="17"/>
      <c r="P39" s="17"/>
      <c r="Q39" s="17">
        <f>$B$8*H39</f>
        <v>0</v>
      </c>
      <c r="R39" s="21">
        <f>$B$7*I39</f>
        <v>0</v>
      </c>
      <c r="S39" s="21">
        <f>$B$8*J39</f>
        <v>0</v>
      </c>
    </row>
    <row r="40" spans="1:19" ht="34.049999999999997" customHeight="1">
      <c r="A40" s="470" t="s">
        <v>363</v>
      </c>
      <c r="B40" s="470"/>
      <c r="C40" s="470"/>
      <c r="D40" s="470"/>
      <c r="E40" s="230">
        <f>Inputs!C26</f>
        <v>1</v>
      </c>
      <c r="F40" s="37">
        <f t="shared" si="1"/>
        <v>12</v>
      </c>
      <c r="G40" s="18">
        <f>$B$26*(F40*30.4167)</f>
        <v>987001.08164383576</v>
      </c>
      <c r="H40" s="18">
        <f>$B$27*(F40*30.4167)</f>
        <v>749000.82082191785</v>
      </c>
      <c r="I40" s="164"/>
      <c r="J40" s="164"/>
      <c r="K40" s="164"/>
      <c r="L40" s="164"/>
      <c r="M40" s="164"/>
      <c r="N40" s="17">
        <f>$B$7*G40</f>
        <v>0</v>
      </c>
      <c r="O40" s="17"/>
      <c r="P40" s="17"/>
      <c r="Q40" s="17">
        <f>$B$8*H40</f>
        <v>0</v>
      </c>
      <c r="R40" s="168"/>
      <c r="S40" s="168"/>
    </row>
    <row r="41" spans="1:19">
      <c r="E41" s="68">
        <f t="shared" ref="E41:J41" si="2">SUM(E38:E40)</f>
        <v>1</v>
      </c>
      <c r="F41" s="36">
        <f t="shared" si="2"/>
        <v>12</v>
      </c>
      <c r="G41" s="40">
        <f t="shared" si="2"/>
        <v>987001.08164383576</v>
      </c>
      <c r="H41" s="40">
        <f t="shared" si="2"/>
        <v>749000.82082191785</v>
      </c>
      <c r="I41" s="40">
        <f t="shared" si="2"/>
        <v>0</v>
      </c>
      <c r="J41" s="40">
        <f t="shared" si="2"/>
        <v>0</v>
      </c>
      <c r="K41" s="40"/>
      <c r="L41" s="81" t="e">
        <f>SUM(L38:L40)</f>
        <v>#DIV/0!</v>
      </c>
      <c r="M41" s="81" t="e">
        <f>SUM(M38:M40)</f>
        <v>#DIV/0!</v>
      </c>
      <c r="N41" s="40">
        <f>SUM(N38:N40)</f>
        <v>0</v>
      </c>
      <c r="O41" s="40"/>
      <c r="P41" s="40"/>
      <c r="Q41" s="40">
        <f>SUM(Q38:Q40)</f>
        <v>0</v>
      </c>
      <c r="R41" s="171">
        <f>SUM(R38:R40)</f>
        <v>0</v>
      </c>
      <c r="S41" s="171">
        <f>SUM(S38:S40)</f>
        <v>0</v>
      </c>
    </row>
    <row r="43" spans="1:19" ht="36" customHeight="1">
      <c r="A43" s="470" t="s">
        <v>348</v>
      </c>
      <c r="B43" s="470"/>
      <c r="C43" s="470"/>
    </row>
    <row r="46" spans="1:19">
      <c r="A46" t="s">
        <v>92</v>
      </c>
    </row>
  </sheetData>
  <sheetProtection algorithmName="SHA-512" hashValue="56sA0ui2tTIspKopKLM+JW1bxNepv8msCdPW/abGBUgIWUmyIo1CmsUb+xdhJ92rfhpNqUQ4vRc7AGucD6Ckpw==" saltValue="Br3pM2A3ySIp8M9RX8T4+g==" spinCount="100000" sheet="1" objects="1" scenarios="1" selectLockedCells="1" selectUnlockedCells="1"/>
  <mergeCells count="9">
    <mergeCell ref="A43:C43"/>
    <mergeCell ref="A40:D40"/>
    <mergeCell ref="G35:M35"/>
    <mergeCell ref="L36:M36"/>
    <mergeCell ref="R36:S36"/>
    <mergeCell ref="N35:S35"/>
    <mergeCell ref="G36:H36"/>
    <mergeCell ref="N36:Q36"/>
    <mergeCell ref="I36:J36"/>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6"/>
  <sheetViews>
    <sheetView workbookViewId="0">
      <selection sqref="A1:XFD1048576"/>
    </sheetView>
  </sheetViews>
  <sheetFormatPr defaultColWidth="11.19921875" defaultRowHeight="15.6"/>
  <cols>
    <col min="1" max="1" width="18.296875" customWidth="1"/>
    <col min="2" max="2" width="15.296875" customWidth="1"/>
    <col min="3" max="3" width="16.19921875" customWidth="1"/>
  </cols>
  <sheetData>
    <row r="1" spans="1:3">
      <c r="A1" s="89" t="s">
        <v>277</v>
      </c>
      <c r="B1" s="89" t="s">
        <v>281</v>
      </c>
      <c r="C1" s="89" t="s">
        <v>285</v>
      </c>
    </row>
    <row r="2" spans="1:3">
      <c r="A2" s="89" t="s">
        <v>279</v>
      </c>
      <c r="B2" s="89" t="s">
        <v>282</v>
      </c>
      <c r="C2" s="89" t="s">
        <v>286</v>
      </c>
    </row>
    <row r="3" spans="1:3">
      <c r="A3" s="89" t="s">
        <v>278</v>
      </c>
      <c r="B3" s="89" t="s">
        <v>283</v>
      </c>
      <c r="C3" s="89" t="s">
        <v>287</v>
      </c>
    </row>
    <row r="4" spans="1:3">
      <c r="A4" s="89" t="s">
        <v>280</v>
      </c>
      <c r="B4" s="89" t="s">
        <v>284</v>
      </c>
      <c r="C4" s="89" t="s">
        <v>288</v>
      </c>
    </row>
    <row r="7" spans="1:3">
      <c r="A7" s="525" t="s">
        <v>299</v>
      </c>
      <c r="B7" s="525"/>
    </row>
    <row r="8" spans="1:3">
      <c r="A8" s="377">
        <v>0</v>
      </c>
      <c r="B8" s="115"/>
    </row>
    <row r="9" spans="1:3">
      <c r="A9" s="100">
        <v>8.3000000000000004E-2</v>
      </c>
      <c r="B9" s="101"/>
    </row>
    <row r="10" spans="1:3">
      <c r="A10" s="98">
        <v>0.16700000000000001</v>
      </c>
    </row>
    <row r="11" spans="1:3">
      <c r="A11" s="98">
        <v>0.25</v>
      </c>
    </row>
    <row r="12" spans="1:3">
      <c r="A12" s="98">
        <v>0.33300000000000002</v>
      </c>
    </row>
    <row r="13" spans="1:3">
      <c r="A13" s="98">
        <v>0.41670000000000001</v>
      </c>
    </row>
    <row r="14" spans="1:3">
      <c r="A14" s="98">
        <v>0.5</v>
      </c>
    </row>
    <row r="15" spans="1:3">
      <c r="A15" s="98">
        <v>0.58299999999999996</v>
      </c>
      <c r="B15" t="s">
        <v>342</v>
      </c>
    </row>
    <row r="16" spans="1:3">
      <c r="A16" s="98">
        <v>0.66700000000000004</v>
      </c>
    </row>
    <row r="17" spans="1:1">
      <c r="A17" s="98">
        <v>0.75</v>
      </c>
    </row>
    <row r="18" spans="1:1">
      <c r="A18" s="98">
        <v>0.83299999999999996</v>
      </c>
    </row>
    <row r="19" spans="1:1">
      <c r="A19" s="98">
        <v>0.91700000000000004</v>
      </c>
    </row>
    <row r="20" spans="1:1">
      <c r="A20" s="98">
        <v>1</v>
      </c>
    </row>
    <row r="21" spans="1:1">
      <c r="A21" s="98"/>
    </row>
    <row r="22" spans="1:1">
      <c r="A22" s="36" t="s">
        <v>301</v>
      </c>
    </row>
    <row r="23" spans="1:1">
      <c r="A23" s="37">
        <v>600</v>
      </c>
    </row>
    <row r="24" spans="1:1">
      <c r="A24" s="37">
        <v>700</v>
      </c>
    </row>
    <row r="25" spans="1:1">
      <c r="A25" s="37">
        <v>800</v>
      </c>
    </row>
    <row r="26" spans="1:1">
      <c r="A26" s="37">
        <v>900</v>
      </c>
    </row>
    <row r="27" spans="1:1">
      <c r="A27" s="37">
        <v>1000</v>
      </c>
    </row>
    <row r="28" spans="1:1">
      <c r="A28" s="37">
        <v>1100</v>
      </c>
    </row>
    <row r="29" spans="1:1">
      <c r="A29" s="37">
        <v>1200</v>
      </c>
    </row>
    <row r="30" spans="1:1">
      <c r="A30" s="37">
        <v>1300</v>
      </c>
    </row>
    <row r="31" spans="1:1">
      <c r="A31" s="37">
        <v>1400</v>
      </c>
    </row>
    <row r="32" spans="1:1">
      <c r="A32" s="37">
        <v>1500</v>
      </c>
    </row>
    <row r="33" spans="1:1">
      <c r="A33" s="37">
        <v>1600</v>
      </c>
    </row>
    <row r="34" spans="1:1">
      <c r="A34" s="37">
        <v>1700</v>
      </c>
    </row>
    <row r="35" spans="1:1">
      <c r="A35" s="37">
        <v>1800</v>
      </c>
    </row>
    <row r="36" spans="1:1">
      <c r="A36" s="37">
        <v>1900</v>
      </c>
    </row>
    <row r="37" spans="1:1">
      <c r="A37" s="37">
        <v>2000</v>
      </c>
    </row>
    <row r="38" spans="1:1">
      <c r="A38" s="37"/>
    </row>
    <row r="39" spans="1:1">
      <c r="A39" s="36" t="s">
        <v>300</v>
      </c>
    </row>
    <row r="40" spans="1:1">
      <c r="A40" s="37">
        <v>100</v>
      </c>
    </row>
    <row r="41" spans="1:1">
      <c r="A41" s="37">
        <v>150</v>
      </c>
    </row>
    <row r="42" spans="1:1">
      <c r="A42" s="37">
        <v>200</v>
      </c>
    </row>
    <row r="43" spans="1:1">
      <c r="A43" s="37">
        <v>250</v>
      </c>
    </row>
    <row r="44" spans="1:1">
      <c r="A44" s="37"/>
    </row>
    <row r="45" spans="1:1">
      <c r="A45" s="37"/>
    </row>
    <row r="46" spans="1:1">
      <c r="A46" s="37"/>
    </row>
  </sheetData>
  <sheetProtection algorithmName="SHA-512" hashValue="0mYt0hYdXbgZP20uNRNK/mqboHXYKwmOtiGG3CUnHlai7zdwGgp1mA8hWa4ISAoV4U8QTb0mmnPkJtrfBKWeOA==" saltValue="NTCMald6haspSlxqEhg0+g==" spinCount="100000" sheet="1" objects="1" scenarios="1" selectLockedCells="1" selectUnlockedCells="1"/>
  <mergeCells count="1">
    <mergeCell ref="A7:B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L46"/>
  <sheetViews>
    <sheetView workbookViewId="0">
      <selection activeCell="C50" sqref="C50"/>
    </sheetView>
  </sheetViews>
  <sheetFormatPr defaultColWidth="11.19921875" defaultRowHeight="15.6"/>
  <cols>
    <col min="1" max="1" width="42.69921875" customWidth="1"/>
    <col min="2" max="2" width="15.19921875" customWidth="1"/>
    <col min="3" max="3" width="14.296875" customWidth="1"/>
    <col min="4" max="4" width="13.796875" customWidth="1"/>
    <col min="5" max="5" width="15" customWidth="1"/>
    <col min="6" max="6" width="13.796875" customWidth="1"/>
    <col min="7" max="7" width="13.69921875" customWidth="1"/>
    <col min="8" max="8" width="13.296875" customWidth="1"/>
    <col min="9" max="9" width="13.19921875" customWidth="1"/>
    <col min="10" max="10" width="14.5" customWidth="1"/>
    <col min="11" max="11" width="13.5" customWidth="1"/>
    <col min="12" max="12" width="18" customWidth="1"/>
  </cols>
  <sheetData>
    <row r="1" spans="1:5" ht="25.95" customHeight="1">
      <c r="A1" s="431" t="s">
        <v>394</v>
      </c>
      <c r="B1" s="432"/>
      <c r="C1" s="432"/>
      <c r="D1" s="432"/>
      <c r="E1" s="433"/>
    </row>
    <row r="2" spans="1:5" ht="25.95" customHeight="1">
      <c r="A2" s="262"/>
      <c r="B2" s="197"/>
      <c r="C2" s="197"/>
      <c r="D2" s="197"/>
      <c r="E2" s="263"/>
    </row>
    <row r="3" spans="1:5" ht="25.95" customHeight="1">
      <c r="A3" s="421" t="s">
        <v>471</v>
      </c>
      <c r="B3" s="422"/>
      <c r="C3" s="422"/>
      <c r="D3" s="422"/>
      <c r="E3" s="423"/>
    </row>
    <row r="4" spans="1:5" ht="49.05" customHeight="1">
      <c r="A4" s="434" t="s">
        <v>585</v>
      </c>
      <c r="B4" s="435"/>
      <c r="C4" s="435"/>
      <c r="D4" s="435"/>
      <c r="E4" s="436"/>
    </row>
    <row r="5" spans="1:5" ht="34.049999999999997" customHeight="1">
      <c r="A5" s="437" t="s">
        <v>369</v>
      </c>
      <c r="B5" s="438"/>
      <c r="C5" s="438"/>
      <c r="D5" s="438"/>
      <c r="E5" s="439"/>
    </row>
    <row r="6" spans="1:5">
      <c r="A6" s="256"/>
      <c r="B6" s="135"/>
      <c r="C6" s="135"/>
      <c r="D6" s="135"/>
      <c r="E6" s="257"/>
    </row>
    <row r="7" spans="1:5" ht="18.600000000000001" thickBot="1">
      <c r="A7" s="258" t="s">
        <v>368</v>
      </c>
      <c r="B7" s="259"/>
      <c r="C7" s="260"/>
      <c r="D7" s="260"/>
      <c r="E7" s="261"/>
    </row>
    <row r="10" spans="1:5" ht="16.05" customHeight="1">
      <c r="A10" s="424" t="s">
        <v>346</v>
      </c>
      <c r="B10" s="425"/>
    </row>
    <row r="11" spans="1:5" ht="52.05" customHeight="1">
      <c r="A11" s="151" t="s">
        <v>344</v>
      </c>
      <c r="B11" s="193">
        <f>'Calorie Sources Data'!C126</f>
        <v>2704.1095890410961</v>
      </c>
    </row>
    <row r="12" spans="1:5" ht="49.05" customHeight="1">
      <c r="A12" s="151" t="s">
        <v>343</v>
      </c>
      <c r="B12" s="193">
        <f>'Calorie Sources Data'!C127</f>
        <v>2052.0547945205481</v>
      </c>
    </row>
    <row r="13" spans="1:5" ht="31.05" customHeight="1">
      <c r="A13" s="440" t="s">
        <v>347</v>
      </c>
      <c r="B13" s="441"/>
    </row>
    <row r="14" spans="1:5" ht="19.95" customHeight="1">
      <c r="A14" s="152" t="s">
        <v>345</v>
      </c>
      <c r="B14" s="152"/>
    </row>
    <row r="17" spans="1:12" ht="18">
      <c r="A17" s="149" t="s">
        <v>358</v>
      </c>
      <c r="B17" s="152"/>
      <c r="C17" s="152"/>
      <c r="D17" s="152"/>
      <c r="E17" s="152"/>
      <c r="F17" s="152"/>
    </row>
    <row r="18" spans="1:12">
      <c r="A18" s="152"/>
      <c r="B18" s="156" t="s">
        <v>93</v>
      </c>
      <c r="C18" s="156" t="s">
        <v>522</v>
      </c>
      <c r="D18" s="156" t="s">
        <v>234</v>
      </c>
      <c r="E18" s="156" t="s">
        <v>245</v>
      </c>
      <c r="F18" s="156" t="s">
        <v>94</v>
      </c>
    </row>
    <row r="19" spans="1:12" ht="18">
      <c r="A19" s="188" t="s">
        <v>366</v>
      </c>
      <c r="B19" s="161">
        <f>'Calorie Sources Data'!C126</f>
        <v>2704.1095890410961</v>
      </c>
      <c r="C19" s="162">
        <f>'Calorie Planning Factors'!F26</f>
        <v>18928.767123287675</v>
      </c>
      <c r="D19" s="162">
        <f>'Calorie Planning Factors'!C26</f>
        <v>82250.090136986299</v>
      </c>
      <c r="E19" s="161">
        <f>'Calorie Planning Factors'!D26</f>
        <v>493500.54082191782</v>
      </c>
      <c r="F19" s="161">
        <f>'Calorie Planning Factors'!E26</f>
        <v>987000.00000000012</v>
      </c>
    </row>
    <row r="20" spans="1:12" ht="18">
      <c r="A20" s="188" t="s">
        <v>367</v>
      </c>
      <c r="B20" s="161">
        <f>'Calorie Sources Data'!C127</f>
        <v>2052.0547945205481</v>
      </c>
      <c r="C20" s="162">
        <f>'Calorie Planning Factors'!F27</f>
        <v>14364.383561643837</v>
      </c>
      <c r="D20" s="162">
        <f>'Calorie Planning Factors'!C27</f>
        <v>62416.735068493152</v>
      </c>
      <c r="E20" s="161">
        <f>'Calorie Planning Factors'!D27</f>
        <v>374500.41041095892</v>
      </c>
      <c r="F20" s="161">
        <f>'Calorie Planning Factors'!E27</f>
        <v>749000</v>
      </c>
    </row>
    <row r="21" spans="1:12" ht="33" customHeight="1">
      <c r="A21" s="188" t="e">
        <f ca="1">_xlfn.CONCAT("All ",'Calorie Planning Factors'!B7," Men Avg Calories/day (year-round avg)")</f>
        <v>#NAME?</v>
      </c>
      <c r="B21" s="161">
        <f>B$19*'Calorie Planning Factors'!$B$7</f>
        <v>0</v>
      </c>
      <c r="C21" s="162">
        <f>C19*'Calorie Planning Factors'!B7</f>
        <v>0</v>
      </c>
      <c r="D21" s="161">
        <f>D$19*'Calorie Planning Factors'!$B$7</f>
        <v>0</v>
      </c>
      <c r="E21" s="161">
        <f>E$19*'Calorie Planning Factors'!$B$7</f>
        <v>0</v>
      </c>
      <c r="F21" s="161">
        <f>F$19*'Calorie Planning Factors'!$B$7</f>
        <v>0</v>
      </c>
    </row>
    <row r="22" spans="1:12" ht="31.05" customHeight="1">
      <c r="A22" s="188" t="e">
        <f ca="1">_xlfn.CONCAT("All ",'Calorie Planning Factors'!B8," Women Avg Calories/day (year-round avg)")</f>
        <v>#NAME?</v>
      </c>
      <c r="B22" s="161">
        <f>B$20*'Calorie Planning Factors'!$B$8</f>
        <v>0</v>
      </c>
      <c r="C22" s="162">
        <f>C20*'Calorie Planning Factors'!B8</f>
        <v>0</v>
      </c>
      <c r="D22" s="161">
        <f>D$20*'Calorie Planning Factors'!$B$8</f>
        <v>0</v>
      </c>
      <c r="E22" s="161">
        <f>E$20*'Calorie Planning Factors'!$B$8</f>
        <v>0</v>
      </c>
      <c r="F22" s="161">
        <f>F$20*'Calorie Planning Factors'!$B$8</f>
        <v>0</v>
      </c>
    </row>
    <row r="23" spans="1:12" ht="34.950000000000003" customHeight="1">
      <c r="A23" s="189" t="e">
        <f ca="1">_xlfn.CONCAT("All ",'Calorie Planning Factors'!B4," Men &amp; Women Avg Calories/day (year-round avg)")</f>
        <v>#NAME?</v>
      </c>
      <c r="B23" s="161">
        <f>B21+B22</f>
        <v>0</v>
      </c>
      <c r="C23" s="162">
        <f>C21+C22</f>
        <v>0</v>
      </c>
      <c r="D23" s="161">
        <f>D21+D22</f>
        <v>0</v>
      </c>
      <c r="E23" s="161">
        <f t="shared" ref="E23:F23" si="0">E21+E22</f>
        <v>0</v>
      </c>
      <c r="F23" s="161">
        <f t="shared" si="0"/>
        <v>0</v>
      </c>
    </row>
    <row r="24" spans="1:12">
      <c r="B24" s="19"/>
    </row>
    <row r="27" spans="1:12" ht="18">
      <c r="A27" s="149" t="s">
        <v>359</v>
      </c>
      <c r="B27" s="152"/>
      <c r="C27" s="152"/>
      <c r="D27" s="152"/>
      <c r="E27" s="152"/>
      <c r="F27" s="152"/>
      <c r="G27" s="152"/>
      <c r="H27" s="152"/>
      <c r="I27" s="152"/>
      <c r="J27" s="152"/>
      <c r="K27" s="152"/>
      <c r="L27" s="152"/>
    </row>
    <row r="28" spans="1:12" ht="18">
      <c r="A28" s="152"/>
      <c r="B28" s="152"/>
      <c r="C28" s="152"/>
      <c r="D28" s="152"/>
      <c r="E28" s="152"/>
      <c r="F28" s="152"/>
      <c r="G28" s="419" t="s">
        <v>242</v>
      </c>
      <c r="H28" s="419"/>
      <c r="I28" s="419"/>
      <c r="J28" s="419"/>
      <c r="K28" s="419"/>
      <c r="L28" s="419"/>
    </row>
    <row r="29" spans="1:12" ht="18">
      <c r="A29" s="152"/>
      <c r="B29" s="152"/>
      <c r="C29" s="152"/>
      <c r="D29" s="152"/>
      <c r="E29" s="152"/>
      <c r="F29" s="152"/>
      <c r="G29" s="420" t="s">
        <v>100</v>
      </c>
      <c r="H29" s="420"/>
      <c r="I29" s="429" t="s">
        <v>468</v>
      </c>
      <c r="J29" s="429"/>
      <c r="K29" s="430" t="s">
        <v>469</v>
      </c>
      <c r="L29" s="430"/>
    </row>
    <row r="30" spans="1:12" ht="28.05" customHeight="1">
      <c r="A30" s="152"/>
      <c r="B30" s="152"/>
      <c r="C30" s="152"/>
      <c r="D30" s="152"/>
      <c r="E30" s="175" t="s">
        <v>241</v>
      </c>
      <c r="F30" s="175" t="s">
        <v>91</v>
      </c>
      <c r="G30" s="175" t="s">
        <v>98</v>
      </c>
      <c r="H30" s="154" t="s">
        <v>99</v>
      </c>
      <c r="I30" s="175" t="s">
        <v>98</v>
      </c>
      <c r="J30" s="154" t="s">
        <v>99</v>
      </c>
      <c r="K30" s="154" t="s">
        <v>98</v>
      </c>
      <c r="L30" s="154" t="s">
        <v>99</v>
      </c>
    </row>
    <row r="31" spans="1:12" ht="18">
      <c r="A31" s="95" t="s">
        <v>361</v>
      </c>
      <c r="B31" s="95"/>
      <c r="C31" s="95"/>
      <c r="D31" s="95"/>
      <c r="E31" s="181">
        <f>Inputs!C22</f>
        <v>0</v>
      </c>
      <c r="F31" s="166">
        <f>'Calorie Planning Factors'!$F38</f>
        <v>0</v>
      </c>
      <c r="G31" s="162">
        <f>'Calorie Planning Factors'!$G38</f>
        <v>0</v>
      </c>
      <c r="H31" s="162">
        <f>'Calorie Planning Factors'!$H38</f>
        <v>0</v>
      </c>
      <c r="I31" s="182">
        <f>'Calorie Planning Factors'!$I38</f>
        <v>0</v>
      </c>
      <c r="J31" s="182">
        <f>'Calorie Planning Factors'!$J38</f>
        <v>0</v>
      </c>
      <c r="K31" s="183" t="e">
        <f>'Calorie Planning Factors'!$L38</f>
        <v>#DIV/0!</v>
      </c>
      <c r="L31" s="183" t="e">
        <f>'Calorie Planning Factors'!$M38</f>
        <v>#DIV/0!</v>
      </c>
    </row>
    <row r="32" spans="1:12" ht="18">
      <c r="A32" s="192" t="s">
        <v>485</v>
      </c>
      <c r="B32" s="192"/>
      <c r="C32" s="192"/>
      <c r="D32" s="192"/>
      <c r="E32" s="181">
        <f>Inputs!C24</f>
        <v>0</v>
      </c>
      <c r="F32" s="166">
        <f>'Calorie Planning Factors'!$F39</f>
        <v>0</v>
      </c>
      <c r="G32" s="162">
        <f>'Calorie Planning Factors'!$G39</f>
        <v>0</v>
      </c>
      <c r="H32" s="162">
        <f>'Calorie Planning Factors'!$H39</f>
        <v>0</v>
      </c>
      <c r="I32" s="182" t="e">
        <f>'Outputs 3 - Food Source 2'!I95</f>
        <v>#DIV/0!</v>
      </c>
      <c r="J32" s="182" t="e">
        <f>'Outputs 3 - Food Source 2'!J95</f>
        <v>#DIV/0!</v>
      </c>
      <c r="K32" s="183" t="e">
        <f>'Outputs 3 - Food Source 2'!K95</f>
        <v>#DIV/0!</v>
      </c>
      <c r="L32" s="183" t="e">
        <f>'Outputs 3 - Food Source 2'!L95</f>
        <v>#DIV/0!</v>
      </c>
    </row>
    <row r="33" spans="1:12" ht="36" customHeight="1">
      <c r="A33" s="418" t="s">
        <v>487</v>
      </c>
      <c r="B33" s="418"/>
      <c r="C33" s="418"/>
      <c r="D33" s="418"/>
      <c r="E33" s="181">
        <f>Inputs!C26</f>
        <v>1</v>
      </c>
      <c r="F33" s="166">
        <f>'Calorie Planning Factors'!$F40</f>
        <v>12</v>
      </c>
      <c r="G33" s="162">
        <f>'Calorie Planning Factors'!$G40</f>
        <v>987001.08164383576</v>
      </c>
      <c r="H33" s="162">
        <f>'Calorie Planning Factors'!$H40</f>
        <v>749000.82082191785</v>
      </c>
      <c r="I33" s="173"/>
      <c r="J33" s="174"/>
      <c r="K33" s="174" t="e">
        <f>'Outputs 3 - Food Source 2'!I93</f>
        <v>#DIV/0!</v>
      </c>
      <c r="L33" s="174"/>
    </row>
    <row r="34" spans="1:12" ht="18">
      <c r="A34" s="148"/>
      <c r="B34" s="152"/>
      <c r="C34" s="152"/>
      <c r="D34" s="341" t="s">
        <v>298</v>
      </c>
      <c r="E34" s="184">
        <f>SUM(E31:E33)</f>
        <v>1</v>
      </c>
      <c r="F34" s="185">
        <f>SUM(F31:F33)</f>
        <v>12</v>
      </c>
      <c r="G34" s="162">
        <f>'Calorie Planning Factors'!$G41</f>
        <v>987001.08164383576</v>
      </c>
      <c r="H34" s="162">
        <f>'Calorie Planning Factors'!$H41</f>
        <v>749000.82082191785</v>
      </c>
      <c r="I34" s="182">
        <f>'Calorie Planning Factors'!I41</f>
        <v>0</v>
      </c>
      <c r="J34" s="182">
        <f>'Calorie Planning Factors'!J41</f>
        <v>0</v>
      </c>
      <c r="K34" s="179"/>
      <c r="L34" s="179"/>
    </row>
    <row r="35" spans="1:12" ht="18.600000000000001">
      <c r="A35" s="152" t="s">
        <v>466</v>
      </c>
      <c r="B35" s="152"/>
      <c r="C35" s="152"/>
      <c r="D35" s="152"/>
      <c r="E35" s="180"/>
      <c r="F35" s="150"/>
      <c r="G35" s="160"/>
      <c r="H35" s="160"/>
      <c r="I35" s="160"/>
      <c r="J35" s="160"/>
      <c r="K35" s="160"/>
      <c r="L35" s="160"/>
    </row>
    <row r="36" spans="1:12" ht="18.600000000000001">
      <c r="A36" s="152" t="s">
        <v>464</v>
      </c>
      <c r="B36" s="152"/>
      <c r="C36" s="152"/>
      <c r="D36" s="152"/>
      <c r="E36" s="180"/>
      <c r="F36" s="150"/>
      <c r="G36" s="160"/>
      <c r="H36" s="160"/>
      <c r="I36" s="160"/>
      <c r="J36" s="160"/>
      <c r="K36" s="160"/>
      <c r="L36" s="160"/>
    </row>
    <row r="37" spans="1:12">
      <c r="A37" s="152"/>
      <c r="B37" s="152"/>
      <c r="C37" s="152"/>
      <c r="D37" s="152"/>
      <c r="E37" s="152"/>
      <c r="F37" s="152"/>
      <c r="G37" s="152"/>
      <c r="H37" s="152"/>
      <c r="I37" s="152"/>
      <c r="J37" s="152"/>
      <c r="K37" s="152"/>
      <c r="L37" s="152"/>
    </row>
    <row r="38" spans="1:12" ht="18">
      <c r="A38" s="152"/>
      <c r="B38" s="152"/>
      <c r="C38" s="152"/>
      <c r="D38" s="152"/>
      <c r="E38" s="152"/>
      <c r="F38" s="152"/>
      <c r="G38" s="419" t="e">
        <f ca="1">_xlfn.CONCAT("For ",'Calorie Planning Factors'!B4," Total Members")</f>
        <v>#NAME?</v>
      </c>
      <c r="H38" s="419"/>
      <c r="I38" s="419"/>
      <c r="J38" s="419"/>
      <c r="K38" s="152"/>
      <c r="L38" s="152"/>
    </row>
    <row r="39" spans="1:12" ht="31.95" customHeight="1">
      <c r="A39" s="152"/>
      <c r="B39" s="152"/>
      <c r="C39" s="152"/>
      <c r="D39" s="152"/>
      <c r="E39" s="152"/>
      <c r="F39" s="152"/>
      <c r="G39" s="420" t="s">
        <v>100</v>
      </c>
      <c r="H39" s="420"/>
      <c r="I39" s="426" t="s">
        <v>470</v>
      </c>
      <c r="J39" s="427"/>
      <c r="K39" s="428"/>
      <c r="L39" s="152"/>
    </row>
    <row r="40" spans="1:12" ht="34.049999999999997" customHeight="1">
      <c r="A40" s="152"/>
      <c r="B40" s="152"/>
      <c r="C40" s="152"/>
      <c r="D40" s="152"/>
      <c r="E40" s="175" t="s">
        <v>241</v>
      </c>
      <c r="F40" s="175" t="s">
        <v>91</v>
      </c>
      <c r="G40" s="154" t="e">
        <f ca="1">_xlfn.CONCAT("All ",'Calorie Planning Factors'!B7," Men")</f>
        <v>#NAME?</v>
      </c>
      <c r="H40" s="154" t="e">
        <f ca="1">_xlfn.CONCAT("All ",'Calorie Planning Factors'!B8," Women")</f>
        <v>#NAME?</v>
      </c>
      <c r="I40" s="154" t="e">
        <f ca="1">_xlfn.CONCAT("All ",'Calorie Planning Factors'!B7," Men")</f>
        <v>#NAME?</v>
      </c>
      <c r="J40" s="154" t="e">
        <f ca="1">_xlfn.CONCAT("All ",'Calorie Planning Factors'!B8," Women")</f>
        <v>#NAME?</v>
      </c>
      <c r="K40" s="175" t="e">
        <f ca="1">_xlfn.CONCAT("All ",'Calorie Planning Factors'!B4," Men &amp; Women")</f>
        <v>#NAME?</v>
      </c>
      <c r="L40" s="152"/>
    </row>
    <row r="41" spans="1:12" ht="18">
      <c r="A41" s="95" t="s">
        <v>361</v>
      </c>
      <c r="B41" s="95"/>
      <c r="C41" s="95"/>
      <c r="D41" s="95"/>
      <c r="E41" s="181">
        <f>Inputs!C22</f>
        <v>0</v>
      </c>
      <c r="F41" s="166">
        <f>'Calorie Planning Factors'!$F38</f>
        <v>0</v>
      </c>
      <c r="G41" s="161">
        <f>'Calorie Planning Factors'!$N38</f>
        <v>0</v>
      </c>
      <c r="H41" s="161">
        <f>'Calorie Planning Factors'!$Q38</f>
        <v>0</v>
      </c>
      <c r="I41" s="182">
        <f>'Calorie Planning Factors'!$R38</f>
        <v>0</v>
      </c>
      <c r="J41" s="182">
        <f>'Calorie Planning Factors'!$S38</f>
        <v>0</v>
      </c>
      <c r="K41" s="338">
        <f>I41+J41</f>
        <v>0</v>
      </c>
      <c r="L41" s="360"/>
    </row>
    <row r="42" spans="1:12" ht="18">
      <c r="A42" s="192" t="s">
        <v>462</v>
      </c>
      <c r="B42" s="192"/>
      <c r="C42" s="192"/>
      <c r="D42" s="192"/>
      <c r="E42" s="181">
        <f>Inputs!C24</f>
        <v>0</v>
      </c>
      <c r="F42" s="166">
        <f>'Calorie Planning Factors'!$F39</f>
        <v>0</v>
      </c>
      <c r="G42" s="161">
        <f>'Calorie Planning Factors'!$N39</f>
        <v>0</v>
      </c>
      <c r="H42" s="161">
        <f>'Calorie Planning Factors'!$Q39</f>
        <v>0</v>
      </c>
      <c r="I42" s="182" t="e">
        <f>'Outputs 3 - Food Source 2'!J102</f>
        <v>#DIV/0!</v>
      </c>
      <c r="J42" s="182" t="e">
        <f>'Outputs 3 - Food Source 2'!K102</f>
        <v>#DIV/0!</v>
      </c>
      <c r="K42" s="338" t="e">
        <f>I42+J42</f>
        <v>#DIV/0!</v>
      </c>
      <c r="L42" s="360"/>
    </row>
    <row r="43" spans="1:12" ht="34.049999999999997" customHeight="1">
      <c r="A43" s="418" t="s">
        <v>463</v>
      </c>
      <c r="B43" s="418"/>
      <c r="C43" s="418"/>
      <c r="D43" s="418"/>
      <c r="E43" s="181">
        <f>Inputs!C26</f>
        <v>1</v>
      </c>
      <c r="F43" s="166">
        <f>'Calorie Planning Factors'!$F40</f>
        <v>12</v>
      </c>
      <c r="G43" s="161">
        <f>'Calorie Planning Factors'!$N40</f>
        <v>0</v>
      </c>
      <c r="H43" s="161">
        <f>'Calorie Planning Factors'!$Q40</f>
        <v>0</v>
      </c>
      <c r="I43" s="185"/>
      <c r="J43" s="185"/>
      <c r="K43" s="152"/>
      <c r="L43" s="152"/>
    </row>
    <row r="44" spans="1:12" ht="18">
      <c r="A44" s="152"/>
      <c r="B44" s="152"/>
      <c r="C44" s="152"/>
      <c r="D44" s="341" t="s">
        <v>298</v>
      </c>
      <c r="E44" s="340">
        <f t="shared" ref="E44:K44" si="1">SUM(E41:E43)</f>
        <v>1</v>
      </c>
      <c r="F44" s="185">
        <f t="shared" si="1"/>
        <v>12</v>
      </c>
      <c r="G44" s="162">
        <f t="shared" si="1"/>
        <v>0</v>
      </c>
      <c r="H44" s="162">
        <f t="shared" si="1"/>
        <v>0</v>
      </c>
      <c r="I44" s="182" t="e">
        <f t="shared" si="1"/>
        <v>#DIV/0!</v>
      </c>
      <c r="J44" s="182" t="e">
        <f t="shared" si="1"/>
        <v>#DIV/0!</v>
      </c>
      <c r="K44" s="338" t="e">
        <f t="shared" si="1"/>
        <v>#DIV/0!</v>
      </c>
      <c r="L44" s="152"/>
    </row>
    <row r="45" spans="1:12" ht="18.600000000000001">
      <c r="A45" s="152" t="s">
        <v>467</v>
      </c>
      <c r="B45" s="152"/>
      <c r="C45" s="152"/>
      <c r="D45" s="152"/>
      <c r="E45" s="317"/>
      <c r="F45" s="317"/>
      <c r="G45" s="317"/>
      <c r="H45" s="317"/>
      <c r="I45" s="317"/>
      <c r="J45" s="317"/>
      <c r="K45" s="339"/>
      <c r="L45" s="318"/>
    </row>
    <row r="46" spans="1:12" ht="18">
      <c r="A46" s="152" t="s">
        <v>591</v>
      </c>
      <c r="B46" s="152"/>
      <c r="C46" s="152"/>
      <c r="D46" s="152"/>
    </row>
  </sheetData>
  <sheetProtection algorithmName="SHA-512" hashValue="opyQkubcGOYqTzC5KRs0PtOo9ylZSYVjwlNEZ6kTdvPPP2wYgXDX9zorZ7wuhJ1vEcDPtQz6nfGFjDvRvTj8fA==" saltValue="OeBfTsJ1WCgHdjAo6jciBg==" spinCount="100000" sheet="1" objects="1" scenarios="1" selectLockedCells="1" selectUnlockedCells="1"/>
  <mergeCells count="15">
    <mergeCell ref="A1:E1"/>
    <mergeCell ref="A4:E4"/>
    <mergeCell ref="A5:E5"/>
    <mergeCell ref="A13:B13"/>
    <mergeCell ref="G28:L28"/>
    <mergeCell ref="A33:D33"/>
    <mergeCell ref="G38:J38"/>
    <mergeCell ref="G39:H39"/>
    <mergeCell ref="A43:D43"/>
    <mergeCell ref="A3:E3"/>
    <mergeCell ref="A10:B10"/>
    <mergeCell ref="I39:K39"/>
    <mergeCell ref="G29:H29"/>
    <mergeCell ref="I29:J29"/>
    <mergeCell ref="K29:L2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M45"/>
  <sheetViews>
    <sheetView tabSelected="1" workbookViewId="0">
      <selection activeCell="M9" sqref="M9"/>
    </sheetView>
  </sheetViews>
  <sheetFormatPr defaultColWidth="11.19921875" defaultRowHeight="15.6"/>
  <cols>
    <col min="1" max="1" width="42.69921875" customWidth="1"/>
    <col min="2" max="2" width="15.19921875" customWidth="1"/>
    <col min="3" max="3" width="14.296875" customWidth="1"/>
    <col min="4" max="4" width="4.19921875" customWidth="1"/>
    <col min="5" max="5" width="21.5" customWidth="1"/>
    <col min="7" max="7" width="13.69921875" customWidth="1"/>
    <col min="8" max="8" width="13.296875" customWidth="1"/>
    <col min="9" max="9" width="13.19921875" customWidth="1"/>
    <col min="10" max="10" width="14.5" customWidth="1"/>
    <col min="11" max="11" width="16.19921875" customWidth="1"/>
    <col min="12" max="12" width="14" customWidth="1"/>
    <col min="13" max="13" width="21.5" customWidth="1"/>
  </cols>
  <sheetData>
    <row r="1" spans="1:12" ht="25.95" customHeight="1">
      <c r="A1" s="448" t="s">
        <v>395</v>
      </c>
      <c r="B1" s="449"/>
      <c r="C1" s="449"/>
      <c r="D1" s="449"/>
      <c r="E1" s="450"/>
    </row>
    <row r="2" spans="1:12" ht="25.95" customHeight="1">
      <c r="A2" s="132"/>
      <c r="B2" s="197"/>
      <c r="C2" s="197"/>
      <c r="D2" s="197"/>
      <c r="E2" s="198"/>
    </row>
    <row r="3" spans="1:12" ht="25.95" customHeight="1">
      <c r="A3" s="451" t="s">
        <v>377</v>
      </c>
      <c r="B3" s="452"/>
      <c r="C3" s="452"/>
      <c r="D3" s="452"/>
      <c r="E3" s="453"/>
    </row>
    <row r="4" spans="1:12" ht="69" customHeight="1">
      <c r="A4" s="454" t="s">
        <v>378</v>
      </c>
      <c r="B4" s="435"/>
      <c r="C4" s="435"/>
      <c r="D4" s="435"/>
      <c r="E4" s="455"/>
    </row>
    <row r="5" spans="1:12" ht="34.049999999999997" customHeight="1">
      <c r="A5" s="456" t="s">
        <v>369</v>
      </c>
      <c r="B5" s="438"/>
      <c r="C5" s="438"/>
      <c r="D5" s="438"/>
      <c r="E5" s="457"/>
    </row>
    <row r="6" spans="1:12">
      <c r="A6" s="134"/>
      <c r="B6" s="135"/>
      <c r="C6" s="135"/>
      <c r="D6" s="135"/>
      <c r="E6" s="133"/>
    </row>
    <row r="7" spans="1:12" ht="18">
      <c r="A7" s="222" t="s">
        <v>472</v>
      </c>
      <c r="B7" s="136"/>
      <c r="C7" s="137"/>
      <c r="D7" s="137"/>
      <c r="E7" s="138"/>
    </row>
    <row r="8" spans="1:12" ht="28.05" customHeight="1"/>
    <row r="9" spans="1:12" ht="18">
      <c r="A9" s="149" t="s">
        <v>379</v>
      </c>
      <c r="B9" s="152"/>
      <c r="C9" s="152"/>
      <c r="D9" s="152"/>
      <c r="E9" s="152"/>
      <c r="F9" s="152"/>
      <c r="G9" s="152"/>
      <c r="H9" s="152"/>
      <c r="I9" s="152"/>
      <c r="J9" s="152"/>
      <c r="K9" s="152"/>
      <c r="L9" s="152"/>
    </row>
    <row r="10" spans="1:12" ht="18">
      <c r="A10" s="152"/>
      <c r="B10" s="152"/>
      <c r="C10" s="152"/>
      <c r="D10" s="152"/>
      <c r="E10" s="152"/>
      <c r="F10" s="152"/>
      <c r="G10" s="419" t="s">
        <v>242</v>
      </c>
      <c r="H10" s="419"/>
      <c r="I10" s="419"/>
      <c r="J10" s="419"/>
      <c r="K10" s="419"/>
      <c r="L10" s="419"/>
    </row>
    <row r="11" spans="1:12" ht="18">
      <c r="A11" s="152"/>
      <c r="B11" s="152"/>
      <c r="C11" s="152"/>
      <c r="D11" s="152"/>
      <c r="E11" s="152"/>
      <c r="F11" s="152"/>
      <c r="G11" s="420" t="s">
        <v>100</v>
      </c>
      <c r="H11" s="420"/>
      <c r="I11" s="429" t="s">
        <v>465</v>
      </c>
      <c r="J11" s="429"/>
      <c r="K11" s="430" t="s">
        <v>370</v>
      </c>
      <c r="L11" s="430"/>
    </row>
    <row r="12" spans="1:12" ht="28.05" customHeight="1">
      <c r="A12" s="152"/>
      <c r="B12" s="152"/>
      <c r="C12" s="152"/>
      <c r="D12" s="152"/>
      <c r="E12" s="175" t="s">
        <v>241</v>
      </c>
      <c r="F12" s="175" t="s">
        <v>91</v>
      </c>
      <c r="G12" s="175" t="s">
        <v>98</v>
      </c>
      <c r="H12" s="154" t="s">
        <v>99</v>
      </c>
      <c r="I12" s="175" t="s">
        <v>98</v>
      </c>
      <c r="J12" s="154" t="s">
        <v>99</v>
      </c>
      <c r="K12" s="154" t="s">
        <v>98</v>
      </c>
      <c r="L12" s="154" t="s">
        <v>99</v>
      </c>
    </row>
    <row r="13" spans="1:12" ht="18">
      <c r="A13" s="95" t="s">
        <v>361</v>
      </c>
      <c r="B13" s="95"/>
      <c r="C13" s="95"/>
      <c r="D13" s="152"/>
      <c r="E13" s="181">
        <f>Inputs!C22</f>
        <v>0</v>
      </c>
      <c r="F13" s="166">
        <f>'Calorie Planning Factors'!$F38</f>
        <v>0</v>
      </c>
      <c r="G13" s="162">
        <f>'Calorie Planning Factors'!$G38</f>
        <v>0</v>
      </c>
      <c r="H13" s="162">
        <f>'Calorie Planning Factors'!$H38</f>
        <v>0</v>
      </c>
      <c r="I13" s="182">
        <f>'Calorie Planning Factors'!$I38</f>
        <v>0</v>
      </c>
      <c r="J13" s="182">
        <f>'Calorie Planning Factors'!$J38</f>
        <v>0</v>
      </c>
      <c r="K13" s="183" t="e">
        <f>'Calorie Planning Factors'!$L38</f>
        <v>#DIV/0!</v>
      </c>
      <c r="L13" s="183" t="e">
        <f>'Calorie Planning Factors'!$M38</f>
        <v>#DIV/0!</v>
      </c>
    </row>
    <row r="14" spans="1:12" ht="18.600000000000001">
      <c r="A14" s="152" t="s">
        <v>371</v>
      </c>
      <c r="B14" s="152"/>
      <c r="C14" s="152"/>
      <c r="D14" s="152"/>
      <c r="E14" s="180"/>
      <c r="F14" s="150"/>
      <c r="G14" s="160"/>
      <c r="H14" s="160"/>
      <c r="I14" s="178"/>
      <c r="J14" s="203"/>
      <c r="K14" s="220"/>
      <c r="L14" s="206"/>
    </row>
    <row r="15" spans="1:12" ht="18">
      <c r="A15" s="152"/>
      <c r="B15" s="152"/>
      <c r="C15" s="152"/>
      <c r="D15" s="152"/>
      <c r="E15" s="180"/>
      <c r="F15" s="150"/>
      <c r="G15" s="160"/>
      <c r="H15" s="160"/>
      <c r="I15" s="178"/>
      <c r="J15" s="203"/>
      <c r="K15" s="220"/>
      <c r="L15" s="206"/>
    </row>
    <row r="16" spans="1:12" ht="18">
      <c r="A16" s="149" t="s">
        <v>380</v>
      </c>
      <c r="B16" s="152"/>
      <c r="C16" s="152"/>
      <c r="D16" s="152"/>
      <c r="E16" s="180"/>
      <c r="F16" s="150"/>
      <c r="G16" s="160"/>
      <c r="H16" s="160"/>
      <c r="I16" s="178"/>
      <c r="J16" s="203"/>
      <c r="K16" s="220"/>
      <c r="L16" s="206"/>
    </row>
    <row r="17" spans="1:13" ht="18">
      <c r="A17" s="152"/>
      <c r="B17" s="152"/>
      <c r="C17" s="152"/>
      <c r="D17" s="152"/>
      <c r="E17" s="152"/>
      <c r="F17" s="152"/>
      <c r="G17" s="419" t="e">
        <f ca="1">_xlfn.CONCAT("For ",'Calorie Planning Factors'!B4," Total Members")</f>
        <v>#NAME?</v>
      </c>
      <c r="H17" s="419"/>
      <c r="I17" s="419"/>
      <c r="J17" s="459"/>
      <c r="K17" s="221"/>
      <c r="L17" s="199"/>
    </row>
    <row r="18" spans="1:13" ht="19.05" customHeight="1">
      <c r="A18" s="152"/>
      <c r="B18" s="152"/>
      <c r="C18" s="152"/>
      <c r="D18" s="152"/>
      <c r="E18" s="152"/>
      <c r="F18" s="152"/>
      <c r="G18" s="445" t="s">
        <v>100</v>
      </c>
      <c r="H18" s="446"/>
      <c r="I18" s="447"/>
      <c r="J18" s="458" t="s">
        <v>360</v>
      </c>
      <c r="K18" s="458"/>
      <c r="L18" s="458"/>
    </row>
    <row r="19" spans="1:13" ht="34.049999999999997" customHeight="1">
      <c r="A19" s="152"/>
      <c r="B19" s="152"/>
      <c r="C19" s="152"/>
      <c r="D19" s="152"/>
      <c r="E19" s="175" t="s">
        <v>241</v>
      </c>
      <c r="F19" s="175" t="s">
        <v>91</v>
      </c>
      <c r="G19" s="154" t="e">
        <f ca="1">_xlfn.CONCAT("All ",'Calorie Planning Factors'!B7," Men")</f>
        <v>#NAME?</v>
      </c>
      <c r="H19" s="154" t="e">
        <f ca="1">_xlfn.CONCAT("All ",'Calorie Planning Factors'!B8," Women")</f>
        <v>#NAME?</v>
      </c>
      <c r="I19" s="175" t="e">
        <f ca="1">_xlfn.CONCAT("All ",'Calorie Planning Factors'!B4," Men &amp; Women")</f>
        <v>#NAME?</v>
      </c>
      <c r="J19" s="154" t="e">
        <f ca="1">_xlfn.CONCAT("All ",'Calorie Planning Factors'!B7," Men")</f>
        <v>#NAME?</v>
      </c>
      <c r="K19" s="201" t="e">
        <f ca="1">_xlfn.CONCAT("All ",'Calorie Planning Factors'!B8," Women")</f>
        <v>#NAME?</v>
      </c>
      <c r="L19" s="346" t="e">
        <f ca="1">_xlfn.CONCAT("All ",'Calorie Planning Factors'!B4," Men &amp; Women")</f>
        <v>#NAME?</v>
      </c>
    </row>
    <row r="20" spans="1:13" ht="18">
      <c r="A20" s="95" t="s">
        <v>361</v>
      </c>
      <c r="B20" s="95"/>
      <c r="C20" s="95"/>
      <c r="D20" s="152"/>
      <c r="E20" s="181">
        <f>Inputs!C22</f>
        <v>0</v>
      </c>
      <c r="F20" s="166">
        <f>'Calorie Planning Factors'!$F38</f>
        <v>0</v>
      </c>
      <c r="G20" s="161">
        <f>'Calorie Planning Factors'!$N38</f>
        <v>0</v>
      </c>
      <c r="H20" s="161">
        <f>'Calorie Planning Factors'!$Q38</f>
        <v>0</v>
      </c>
      <c r="I20" s="162">
        <f>G20+H20</f>
        <v>0</v>
      </c>
      <c r="J20" s="182">
        <f>'Calorie Planning Factors'!$R38</f>
        <v>0</v>
      </c>
      <c r="K20" s="202">
        <f>'Calorie Planning Factors'!$S38</f>
        <v>0</v>
      </c>
      <c r="L20" s="338">
        <f>J20+K20</f>
        <v>0</v>
      </c>
    </row>
    <row r="21" spans="1:13" ht="18.600000000000001">
      <c r="A21" s="152" t="s">
        <v>466</v>
      </c>
      <c r="B21" s="152"/>
      <c r="C21" s="152"/>
      <c r="D21" s="152"/>
      <c r="E21" s="180"/>
      <c r="F21" s="150"/>
      <c r="G21" s="160"/>
      <c r="H21" s="160"/>
      <c r="I21" s="152"/>
      <c r="J21" s="178"/>
      <c r="K21" s="203"/>
      <c r="L21" s="152"/>
    </row>
    <row r="22" spans="1:13" ht="37.950000000000003" customHeight="1"/>
    <row r="23" spans="1:13" ht="18">
      <c r="A23" s="149" t="s">
        <v>387</v>
      </c>
      <c r="B23" s="152"/>
      <c r="C23" s="152"/>
      <c r="D23" s="152"/>
      <c r="E23" s="152"/>
      <c r="F23" s="152"/>
      <c r="G23" s="152"/>
      <c r="H23" s="152"/>
      <c r="I23" s="152"/>
      <c r="J23" s="152"/>
      <c r="K23" s="199"/>
      <c r="L23" s="199"/>
    </row>
    <row r="24" spans="1:13" ht="18">
      <c r="A24" s="152"/>
      <c r="B24" s="152"/>
      <c r="C24" s="152"/>
      <c r="D24" s="152"/>
      <c r="E24" s="152"/>
      <c r="F24" s="152"/>
      <c r="G24" s="442" t="s">
        <v>242</v>
      </c>
      <c r="H24" s="443"/>
      <c r="I24" s="443"/>
      <c r="J24" s="444"/>
      <c r="K24" s="204"/>
      <c r="L24" s="204"/>
    </row>
    <row r="25" spans="1:13" ht="18">
      <c r="A25" s="152"/>
      <c r="B25" s="152"/>
      <c r="C25" s="152"/>
      <c r="D25" s="152"/>
      <c r="E25" s="152"/>
      <c r="F25" s="152"/>
      <c r="G25" s="420" t="s">
        <v>382</v>
      </c>
      <c r="H25" s="420"/>
      <c r="I25" s="429" t="s">
        <v>383</v>
      </c>
      <c r="J25" s="429"/>
      <c r="K25" s="205"/>
      <c r="L25" s="205"/>
    </row>
    <row r="26" spans="1:13" ht="31.2">
      <c r="A26" s="152"/>
      <c r="B26" s="152"/>
      <c r="C26" s="152"/>
      <c r="D26" s="152"/>
      <c r="E26" s="175" t="s">
        <v>241</v>
      </c>
      <c r="F26" s="175" t="s">
        <v>91</v>
      </c>
      <c r="G26" s="175" t="s">
        <v>98</v>
      </c>
      <c r="H26" s="154" t="s">
        <v>99</v>
      </c>
      <c r="I26" s="175" t="s">
        <v>98</v>
      </c>
      <c r="J26" s="154" t="s">
        <v>99</v>
      </c>
      <c r="K26" s="205"/>
      <c r="L26" s="205"/>
    </row>
    <row r="27" spans="1:13" ht="18">
      <c r="A27" s="95" t="s">
        <v>361</v>
      </c>
      <c r="B27" s="95"/>
      <c r="C27" s="95"/>
      <c r="D27" s="152"/>
      <c r="E27" s="181">
        <f>Inputs!C22</f>
        <v>0</v>
      </c>
      <c r="F27" s="166">
        <f>'Calorie Planning Factors'!$F38</f>
        <v>0</v>
      </c>
      <c r="G27" s="186">
        <f>'Calorie Planning Factors'!$G38/'Food-related Resourses'!$G$49</f>
        <v>0</v>
      </c>
      <c r="H27" s="186">
        <f>'Calorie Planning Factors'!$H38/'Food-related Resourses'!$G$49</f>
        <v>0</v>
      </c>
      <c r="I27" s="182">
        <f>G27*'Food-related Resourses'!H49</f>
        <v>0</v>
      </c>
      <c r="J27" s="182">
        <f>H27*'Food-related Resourses'!H49</f>
        <v>0</v>
      </c>
      <c r="K27" s="206"/>
      <c r="L27" s="206"/>
    </row>
    <row r="28" spans="1:13" ht="18.600000000000001">
      <c r="A28" s="152" t="s">
        <v>466</v>
      </c>
      <c r="B28" s="152"/>
      <c r="C28" s="152"/>
      <c r="D28" s="152"/>
      <c r="E28" s="180"/>
      <c r="F28" s="150"/>
      <c r="G28" s="160"/>
      <c r="H28" s="160"/>
      <c r="I28" s="178"/>
      <c r="J28" s="178"/>
      <c r="K28" s="206"/>
      <c r="L28" s="206"/>
    </row>
    <row r="29" spans="1:13" s="199" customFormat="1" ht="37.049999999999997" customHeight="1">
      <c r="E29" s="207"/>
      <c r="F29" s="208"/>
      <c r="G29" s="209"/>
      <c r="H29" s="209"/>
      <c r="I29" s="210"/>
      <c r="J29" s="210"/>
      <c r="K29" s="206"/>
      <c r="L29" s="206"/>
    </row>
    <row r="30" spans="1:13" ht="18">
      <c r="A30" s="149" t="s">
        <v>388</v>
      </c>
      <c r="B30" s="152"/>
      <c r="C30" s="152"/>
      <c r="D30" s="152"/>
      <c r="E30" s="180"/>
      <c r="F30" s="150"/>
      <c r="G30" s="160"/>
      <c r="H30" s="160"/>
      <c r="I30" s="178"/>
      <c r="J30" s="178"/>
      <c r="K30" s="179"/>
      <c r="L30" s="152"/>
      <c r="M30" s="179"/>
    </row>
    <row r="31" spans="1:13" ht="37.049999999999997" customHeight="1">
      <c r="A31" s="152"/>
      <c r="B31" s="152"/>
      <c r="C31" s="152"/>
      <c r="D31" s="152"/>
      <c r="E31" s="152"/>
      <c r="F31" s="152"/>
      <c r="G31" s="419" t="e">
        <f ca="1">_xlfn.CONCAT("For ",'Calorie Planning Factors'!B4," Total Members")</f>
        <v>#NAME?</v>
      </c>
      <c r="H31" s="419"/>
      <c r="I31" s="419"/>
      <c r="J31" s="419"/>
      <c r="K31" s="152"/>
      <c r="L31" s="152"/>
      <c r="M31" s="152"/>
    </row>
    <row r="32" spans="1:13" ht="24" customHeight="1">
      <c r="A32" s="152"/>
      <c r="B32" s="152"/>
      <c r="C32" s="152"/>
      <c r="D32" s="152"/>
      <c r="E32" s="152"/>
      <c r="F32" s="152"/>
      <c r="G32" s="445" t="s">
        <v>382</v>
      </c>
      <c r="H32" s="446"/>
      <c r="I32" s="447"/>
      <c r="J32" s="426" t="s">
        <v>384</v>
      </c>
      <c r="K32" s="427"/>
      <c r="L32" s="428"/>
      <c r="M32" s="211" t="s">
        <v>389</v>
      </c>
    </row>
    <row r="33" spans="1:13" ht="48" customHeight="1">
      <c r="A33" s="152"/>
      <c r="B33" s="152"/>
      <c r="C33" s="152"/>
      <c r="D33" s="152"/>
      <c r="E33" s="175" t="s">
        <v>241</v>
      </c>
      <c r="F33" s="175" t="s">
        <v>91</v>
      </c>
      <c r="G33" s="154" t="e">
        <f ca="1">_xlfn.CONCAT("All ",'Calorie Planning Factors'!B7," Men")</f>
        <v>#NAME?</v>
      </c>
      <c r="H33" s="154" t="e">
        <f ca="1">_xlfn.CONCAT("All ",'Calorie Planning Factors'!B8," Women")</f>
        <v>#NAME?</v>
      </c>
      <c r="I33" s="175" t="e">
        <f ca="1">_xlfn.CONCAT("All ",'Calorie Planning Factors'!B4," Men &amp; Women")</f>
        <v>#NAME?</v>
      </c>
      <c r="J33" s="154" t="e">
        <f ca="1">_xlfn.CONCAT("All ",'Calorie Planning Factors'!B7," Men")</f>
        <v>#NAME?</v>
      </c>
      <c r="K33" s="154" t="e">
        <f ca="1">_xlfn.CONCAT("All ",'Calorie Planning Factors'!B8," Women")</f>
        <v>#NAME?</v>
      </c>
      <c r="L33" s="175" t="e">
        <f ca="1">_xlfn.CONCAT("All ",'Calorie Planning Factors'!B4," Men &amp; Women")</f>
        <v>#NAME?</v>
      </c>
      <c r="M33" s="175" t="s">
        <v>391</v>
      </c>
    </row>
    <row r="34" spans="1:13" ht="18">
      <c r="A34" s="95" t="s">
        <v>361</v>
      </c>
      <c r="B34" s="95"/>
      <c r="C34" s="95"/>
      <c r="D34" s="152"/>
      <c r="E34" s="181">
        <f>Inputs!C22</f>
        <v>0</v>
      </c>
      <c r="F34" s="166">
        <f>'Calorie Planning Factors'!$F38</f>
        <v>0</v>
      </c>
      <c r="G34" s="190">
        <f>'Calorie Planning Factors'!$N38/'Food-related Resourses'!$G$49</f>
        <v>0</v>
      </c>
      <c r="H34" s="190">
        <f>'Calorie Planning Factors'!$Q38/'Food-related Resourses'!$G$49</f>
        <v>0</v>
      </c>
      <c r="I34" s="247">
        <f>G34+H34</f>
        <v>0</v>
      </c>
      <c r="J34" s="182">
        <f>G34*'Food-related Resourses'!$H$49</f>
        <v>0</v>
      </c>
      <c r="K34" s="182">
        <f>H34*'Food-related Resourses'!$H$49</f>
        <v>0</v>
      </c>
      <c r="L34" s="338">
        <f>J34+K34</f>
        <v>0</v>
      </c>
      <c r="M34" s="162">
        <f>(G34+H34)/'Food-related Resourses'!J49</f>
        <v>0</v>
      </c>
    </row>
    <row r="35" spans="1:13" ht="18.600000000000001">
      <c r="A35" s="152" t="s">
        <v>466</v>
      </c>
      <c r="B35" s="152"/>
      <c r="C35" s="152"/>
      <c r="D35" s="152"/>
      <c r="E35" s="180"/>
      <c r="F35" s="150"/>
      <c r="G35" s="160"/>
      <c r="H35" s="160"/>
      <c r="I35" s="178"/>
      <c r="J35" s="178"/>
      <c r="K35" s="152"/>
      <c r="L35" s="152"/>
      <c r="M35" s="152"/>
    </row>
    <row r="36" spans="1:13" ht="18.600000000000001">
      <c r="A36" s="152" t="s">
        <v>390</v>
      </c>
      <c r="B36" s="152"/>
      <c r="C36" s="152"/>
      <c r="D36" s="152"/>
      <c r="E36" s="180"/>
      <c r="F36" s="150"/>
      <c r="G36" s="160"/>
      <c r="H36" s="160"/>
      <c r="I36" s="178"/>
      <c r="J36" s="178"/>
      <c r="K36" s="152"/>
      <c r="L36" s="152"/>
      <c r="M36" s="152"/>
    </row>
    <row r="37" spans="1:13">
      <c r="A37" s="213"/>
      <c r="B37" s="199"/>
      <c r="C37" s="199"/>
    </row>
    <row r="38" spans="1:13">
      <c r="A38" s="213"/>
      <c r="B38" s="199"/>
      <c r="C38" s="199"/>
      <c r="K38" s="313"/>
    </row>
    <row r="39" spans="1:13">
      <c r="A39" s="131"/>
      <c r="B39" s="214"/>
      <c r="C39" s="214"/>
    </row>
    <row r="40" spans="1:13" ht="21">
      <c r="A40" s="215"/>
      <c r="B40" s="216"/>
      <c r="C40" s="217"/>
    </row>
    <row r="41" spans="1:13" ht="18">
      <c r="A41" s="131"/>
      <c r="B41" s="216"/>
      <c r="C41" s="217"/>
    </row>
    <row r="42" spans="1:13" ht="18">
      <c r="A42" s="131"/>
      <c r="B42" s="218"/>
      <c r="C42" s="219"/>
    </row>
    <row r="43" spans="1:13">
      <c r="A43" s="213"/>
      <c r="B43" s="199"/>
      <c r="C43" s="199"/>
    </row>
    <row r="44" spans="1:13">
      <c r="A44" s="199"/>
      <c r="B44" s="199"/>
      <c r="C44" s="199"/>
    </row>
    <row r="45" spans="1:13">
      <c r="A45" s="199"/>
      <c r="B45" s="199"/>
      <c r="C45" s="199"/>
    </row>
  </sheetData>
  <sheetProtection algorithmName="SHA-512" hashValue="TmqzmwUzjP8gejrXV1QXuY4Qkv2u93Va6+pu5EZ5v2smA9ys3oIexA9q8wfeIyxk7dsnLWfo7aros8wqFL0RhA==" saltValue="8EDwAArIbG+gJOb7PVGmaw==" spinCount="100000" sheet="1" objects="1" scenarios="1" selectLockedCells="1" selectUnlockedCells="1"/>
  <mergeCells count="17">
    <mergeCell ref="A1:E1"/>
    <mergeCell ref="A3:E3"/>
    <mergeCell ref="A4:E4"/>
    <mergeCell ref="A5:E5"/>
    <mergeCell ref="J18:L18"/>
    <mergeCell ref="G18:I18"/>
    <mergeCell ref="G10:L10"/>
    <mergeCell ref="G11:H11"/>
    <mergeCell ref="I11:J11"/>
    <mergeCell ref="K11:L11"/>
    <mergeCell ref="G17:J17"/>
    <mergeCell ref="G31:J31"/>
    <mergeCell ref="G24:J24"/>
    <mergeCell ref="G32:I32"/>
    <mergeCell ref="J32:L32"/>
    <mergeCell ref="G25:H25"/>
    <mergeCell ref="I25:J25"/>
  </mergeCells>
  <phoneticPr fontId="4"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L126"/>
  <sheetViews>
    <sheetView topLeftCell="A99" zoomScaleNormal="100" workbookViewId="0">
      <selection activeCell="A119" sqref="A119:XFD120"/>
    </sheetView>
  </sheetViews>
  <sheetFormatPr defaultColWidth="11.19921875" defaultRowHeight="15.6"/>
  <cols>
    <col min="1" max="1" width="26.69921875" customWidth="1"/>
    <col min="2" max="2" width="13.69921875" customWidth="1"/>
    <col min="3" max="3" width="12.296875" customWidth="1"/>
    <col min="4" max="4" width="21.796875" customWidth="1"/>
    <col min="5" max="5" width="11.69921875" bestFit="1" customWidth="1"/>
    <col min="6" max="6" width="11.296875" customWidth="1"/>
    <col min="7" max="7" width="15" customWidth="1"/>
    <col min="8" max="8" width="14.19921875" customWidth="1"/>
    <col min="9" max="9" width="14.296875" bestFit="1" customWidth="1"/>
    <col min="10" max="10" width="12.796875" customWidth="1"/>
    <col min="11" max="11" width="14.296875" customWidth="1"/>
    <col min="12" max="12" width="15.5" customWidth="1"/>
  </cols>
  <sheetData>
    <row r="1" spans="1:11" ht="31.05" customHeight="1">
      <c r="A1" s="471" t="s">
        <v>393</v>
      </c>
      <c r="B1" s="472"/>
      <c r="C1" s="472"/>
      <c r="D1" s="472"/>
      <c r="E1" s="472"/>
      <c r="F1" s="472"/>
      <c r="G1" s="472"/>
      <c r="H1" s="248"/>
      <c r="I1" s="74"/>
      <c r="J1" s="74"/>
      <c r="K1" s="74"/>
    </row>
    <row r="2" spans="1:11" ht="15" customHeight="1">
      <c r="A2" s="249"/>
      <c r="B2" s="250"/>
      <c r="C2" s="250"/>
      <c r="D2" s="250"/>
      <c r="E2" s="250"/>
      <c r="F2" s="250"/>
      <c r="G2" s="250"/>
      <c r="H2" s="251"/>
      <c r="I2" s="74"/>
      <c r="J2" s="74"/>
      <c r="K2" s="74"/>
    </row>
    <row r="3" spans="1:11" ht="31.95" customHeight="1">
      <c r="A3" s="473" t="s">
        <v>392</v>
      </c>
      <c r="B3" s="474"/>
      <c r="C3" s="474"/>
      <c r="D3" s="474"/>
      <c r="E3" s="474"/>
      <c r="F3" s="474"/>
      <c r="G3" s="474"/>
      <c r="H3" s="251"/>
      <c r="I3" s="74"/>
      <c r="J3" s="74"/>
      <c r="K3" s="74"/>
    </row>
    <row r="4" spans="1:11" ht="19.05" customHeight="1">
      <c r="A4" s="252"/>
      <c r="B4" s="253"/>
      <c r="C4" s="253"/>
      <c r="D4" s="253"/>
      <c r="E4" s="253"/>
      <c r="F4" s="253"/>
      <c r="G4" s="253"/>
      <c r="H4" s="251"/>
      <c r="I4" s="74"/>
      <c r="J4" s="74"/>
      <c r="K4" s="74"/>
    </row>
    <row r="5" spans="1:11" ht="58.95" customHeight="1">
      <c r="A5" s="434" t="s">
        <v>396</v>
      </c>
      <c r="B5" s="435"/>
      <c r="C5" s="435"/>
      <c r="D5" s="435"/>
      <c r="E5" s="435"/>
      <c r="F5" s="435"/>
      <c r="G5" s="435"/>
      <c r="H5" s="251"/>
      <c r="I5" s="74"/>
      <c r="J5" s="74"/>
      <c r="K5" s="74"/>
    </row>
    <row r="6" spans="1:11" ht="39" customHeight="1">
      <c r="A6" s="481" t="s">
        <v>473</v>
      </c>
      <c r="B6" s="482"/>
      <c r="C6" s="482"/>
      <c r="D6" s="482"/>
      <c r="E6" s="482"/>
      <c r="F6" s="482"/>
      <c r="G6" s="482"/>
      <c r="H6" s="251"/>
      <c r="I6" s="74"/>
      <c r="J6" s="74"/>
      <c r="K6" s="74"/>
    </row>
    <row r="7" spans="1:11" ht="25.05" customHeight="1">
      <c r="A7" s="462" t="s">
        <v>365</v>
      </c>
      <c r="B7" s="463"/>
      <c r="C7" s="463"/>
      <c r="D7" s="463"/>
      <c r="E7" s="463"/>
      <c r="F7" s="463"/>
      <c r="G7" s="463"/>
      <c r="H7" s="251"/>
      <c r="I7" s="74"/>
      <c r="J7" s="74"/>
      <c r="K7" s="74"/>
    </row>
    <row r="8" spans="1:11" ht="25.05" customHeight="1" thickBot="1">
      <c r="A8" s="460" t="s">
        <v>397</v>
      </c>
      <c r="B8" s="461"/>
      <c r="C8" s="461"/>
      <c r="D8" s="461"/>
      <c r="E8" s="254"/>
      <c r="F8" s="254"/>
      <c r="G8" s="254"/>
      <c r="H8" s="255"/>
      <c r="I8" s="74"/>
      <c r="J8" s="74"/>
      <c r="K8" s="74"/>
    </row>
    <row r="9" spans="1:11" ht="25.05" customHeight="1">
      <c r="A9" s="223"/>
      <c r="B9" s="223"/>
      <c r="C9" s="223"/>
      <c r="D9" s="223"/>
      <c r="E9" s="223"/>
      <c r="F9" s="223"/>
      <c r="G9" s="223"/>
      <c r="H9" s="224"/>
      <c r="I9" s="74"/>
      <c r="J9" s="74"/>
      <c r="K9" s="74"/>
    </row>
    <row r="11" spans="1:11">
      <c r="B11" s="464" t="e">
        <f ca="1">_xlfn.CONCAT("Per Member for ", 'Calorie Planning Factors'!F39, " Months")</f>
        <v>#NAME?</v>
      </c>
      <c r="C11" s="465"/>
      <c r="F11" s="36"/>
      <c r="G11" s="466" t="e">
        <f ca="1">_xlfn.CONCAT('Calorie Planning Factors'!B4, " Total Members for 6 Months")</f>
        <v>#NAME?</v>
      </c>
      <c r="H11" s="467"/>
      <c r="J11" s="17"/>
    </row>
    <row r="12" spans="1:11">
      <c r="B12" s="309" t="e">
        <f>('Calorie Planning Factors'!C31*'Calorie Planning Factors'!F39)</f>
        <v>#DIV/0!</v>
      </c>
      <c r="C12" s="310" t="s">
        <v>165</v>
      </c>
      <c r="G12" s="311" t="e">
        <f>('Calorie Planning Factors'!C31*'Calorie Planning Factors'!F39)*'Calorie Planning Factors'!B4</f>
        <v>#DIV/0!</v>
      </c>
      <c r="H12" s="312" t="s">
        <v>165</v>
      </c>
      <c r="I12" s="75"/>
    </row>
    <row r="13" spans="1:11">
      <c r="B13" s="35"/>
      <c r="C13" s="35"/>
      <c r="F13" s="36"/>
      <c r="G13" s="36"/>
      <c r="H13" s="36"/>
    </row>
    <row r="14" spans="1:11" ht="18">
      <c r="A14" s="188" t="s">
        <v>328</v>
      </c>
      <c r="B14" s="152"/>
      <c r="C14" s="156" t="s">
        <v>111</v>
      </c>
      <c r="D14" s="156" t="s">
        <v>112</v>
      </c>
      <c r="E14" s="188"/>
      <c r="F14" s="188"/>
      <c r="G14" s="156" t="s">
        <v>111</v>
      </c>
      <c r="H14" s="350" t="s">
        <v>112</v>
      </c>
      <c r="I14" s="156" t="s">
        <v>528</v>
      </c>
      <c r="J14" s="30"/>
    </row>
    <row r="15" spans="1:11">
      <c r="A15" s="225" t="s">
        <v>107</v>
      </c>
      <c r="B15" s="152"/>
      <c r="C15" s="228">
        <f>('Stored Ingredients Reqs 6mo'!C9/6)*'Calorie Planning Factors'!$F$39</f>
        <v>0</v>
      </c>
      <c r="D15" s="228">
        <f>C15/'Food-related Resourses'!C66</f>
        <v>0</v>
      </c>
      <c r="E15" s="152"/>
      <c r="F15" s="152"/>
      <c r="G15" s="191">
        <f>C15*'Calorie Planning Factors'!$B$4</f>
        <v>0</v>
      </c>
      <c r="H15" s="322">
        <f>G15/'Food-related Resourses'!C66</f>
        <v>0</v>
      </c>
      <c r="I15" s="347">
        <f>G15/'Calorie Sources Data'!H33*'Calorie Sources Data'!G33</f>
        <v>0</v>
      </c>
    </row>
    <row r="16" spans="1:11">
      <c r="A16" s="225" t="s">
        <v>108</v>
      </c>
      <c r="B16" s="152"/>
      <c r="C16" s="228">
        <f>('Stored Ingredients Reqs 6mo'!C10/6)*'Calorie Planning Factors'!$F$39</f>
        <v>0</v>
      </c>
      <c r="D16" s="228">
        <f>C16/'Food-related Resourses'!C71</f>
        <v>0</v>
      </c>
      <c r="E16" s="152"/>
      <c r="F16" s="152"/>
      <c r="G16" s="191">
        <f>C16*'Calorie Planning Factors'!$B$4</f>
        <v>0</v>
      </c>
      <c r="H16" s="322">
        <f>G16/'Food-related Resourses'!C71</f>
        <v>0</v>
      </c>
      <c r="I16" s="347">
        <f>G16/'Calorie Sources Data'!H35*'Calorie Sources Data'!G35</f>
        <v>0</v>
      </c>
    </row>
    <row r="17" spans="1:10">
      <c r="A17" s="225" t="s">
        <v>15</v>
      </c>
      <c r="B17" s="152"/>
      <c r="C17" s="228">
        <f>('Stored Ingredients Reqs 6mo'!C11/6)*'Calorie Planning Factors'!$F$39</f>
        <v>0</v>
      </c>
      <c r="D17" s="228">
        <f>C17/'Food-related Resourses'!C72</f>
        <v>0</v>
      </c>
      <c r="E17" s="152"/>
      <c r="F17" s="152"/>
      <c r="G17" s="191">
        <f>C17*'Calorie Planning Factors'!$B$4</f>
        <v>0</v>
      </c>
      <c r="H17" s="322">
        <f>G17/'Food-related Resourses'!C72</f>
        <v>0</v>
      </c>
      <c r="I17" s="347">
        <f>G17/'Calorie Sources Data'!H30*'Calorie Sources Data'!G30</f>
        <v>0</v>
      </c>
    </row>
    <row r="18" spans="1:10">
      <c r="A18" s="225" t="s">
        <v>17</v>
      </c>
      <c r="B18" s="152"/>
      <c r="C18" s="228">
        <f>('Stored Ingredients Reqs 6mo'!C12/6)*'Calorie Planning Factors'!$F$39</f>
        <v>0</v>
      </c>
      <c r="D18" s="228">
        <f>C18/'Food-related Resourses'!C73</f>
        <v>0</v>
      </c>
      <c r="E18" s="152"/>
      <c r="F18" s="152"/>
      <c r="G18" s="191">
        <f>C18*'Calorie Planning Factors'!$B$4</f>
        <v>0</v>
      </c>
      <c r="H18" s="322">
        <f>G18/'Food-related Resourses'!C73</f>
        <v>0</v>
      </c>
      <c r="I18" s="347">
        <f>G18/'Calorie Sources Data'!H32*'Calorie Sources Data'!G32</f>
        <v>0</v>
      </c>
    </row>
    <row r="19" spans="1:10">
      <c r="A19" s="225" t="s">
        <v>109</v>
      </c>
      <c r="B19" s="152"/>
      <c r="C19" s="228">
        <f>('Stored Ingredients Reqs 6mo'!C13/6)*'Calorie Planning Factors'!$F$39</f>
        <v>0</v>
      </c>
      <c r="D19" s="228">
        <f>C19/'Food-related Resourses'!C67</f>
        <v>0</v>
      </c>
      <c r="E19" s="152"/>
      <c r="F19" s="152"/>
      <c r="G19" s="191">
        <f>C19*'Calorie Planning Factors'!$B$4</f>
        <v>0</v>
      </c>
      <c r="H19" s="322">
        <f>G19/'Food-related Resourses'!C67</f>
        <v>0</v>
      </c>
      <c r="I19" s="347">
        <f>G19/'Calorie Sources Data'!H36*'Calorie Sources Data'!G36</f>
        <v>0</v>
      </c>
    </row>
    <row r="20" spans="1:10">
      <c r="A20" s="225" t="s">
        <v>110</v>
      </c>
      <c r="B20" s="152"/>
      <c r="C20" s="228">
        <f>('Stored Ingredients Reqs 6mo'!C14/6)*'Calorie Planning Factors'!$F$39</f>
        <v>0</v>
      </c>
      <c r="D20" s="228">
        <f>C20/'Food-related Resourses'!C68</f>
        <v>0</v>
      </c>
      <c r="E20" s="152"/>
      <c r="F20" s="152"/>
      <c r="G20" s="191">
        <f>C20*'Calorie Planning Factors'!$B$4</f>
        <v>0</v>
      </c>
      <c r="H20" s="322">
        <f>G20/'Food-related Resourses'!C68</f>
        <v>0</v>
      </c>
      <c r="I20" s="347">
        <f>G20/'Calorie Sources Data'!H37*'Calorie Sources Data'!G37</f>
        <v>0</v>
      </c>
    </row>
    <row r="21" spans="1:10">
      <c r="A21" s="239" t="s">
        <v>106</v>
      </c>
      <c r="B21" s="152"/>
      <c r="C21" s="228">
        <f>SUM(C14:C20)</f>
        <v>0</v>
      </c>
      <c r="D21" s="228">
        <f>SUM(D15:D20)</f>
        <v>0</v>
      </c>
      <c r="E21" s="152"/>
      <c r="F21" s="152"/>
      <c r="G21" s="191">
        <f>SUM(G14:G20)</f>
        <v>0</v>
      </c>
      <c r="H21" s="322">
        <f>SUM(H15:H20)</f>
        <v>0</v>
      </c>
      <c r="I21" s="337">
        <f>SUM(I15:I20)</f>
        <v>0</v>
      </c>
    </row>
    <row r="23" spans="1:10" ht="18">
      <c r="A23" s="188" t="s">
        <v>329</v>
      </c>
      <c r="B23" s="154"/>
      <c r="C23" s="156" t="s">
        <v>111</v>
      </c>
      <c r="D23" s="188"/>
      <c r="E23" s="188"/>
      <c r="F23" s="156"/>
      <c r="G23" s="156" t="s">
        <v>111</v>
      </c>
      <c r="H23" s="156" t="s">
        <v>559</v>
      </c>
      <c r="I23" s="156" t="s">
        <v>528</v>
      </c>
    </row>
    <row r="24" spans="1:10">
      <c r="A24" s="356" t="s">
        <v>551</v>
      </c>
      <c r="B24" s="154"/>
      <c r="C24" s="357">
        <f>'Stored Ingredients Reqs 6mo'!$C$18*0.4</f>
        <v>4</v>
      </c>
      <c r="D24" s="188"/>
      <c r="E24" s="188"/>
      <c r="F24" s="156"/>
      <c r="G24" s="246">
        <f>C24*'Calorie Planning Factors'!$B$4</f>
        <v>0</v>
      </c>
      <c r="H24" s="165">
        <f>G24/21</f>
        <v>0</v>
      </c>
      <c r="I24" s="347">
        <f>G24/'Calorie Sources Data'!H84*'Calorie Sources Data'!G84</f>
        <v>0</v>
      </c>
    </row>
    <row r="25" spans="1:10">
      <c r="A25" s="356" t="s">
        <v>5</v>
      </c>
      <c r="B25" s="154"/>
      <c r="C25" s="357">
        <f>'Stored Ingredients Reqs 6mo'!$C$18*0.4</f>
        <v>4</v>
      </c>
      <c r="D25" s="188"/>
      <c r="E25" s="188"/>
      <c r="F25" s="156"/>
      <c r="G25" s="246">
        <f>C25*'Calorie Planning Factors'!$B$4</f>
        <v>0</v>
      </c>
      <c r="H25" s="165">
        <f t="shared" ref="H25:H26" si="0">G25/21</f>
        <v>0</v>
      </c>
      <c r="I25" s="347">
        <f>G25/'Calorie Sources Data'!H85*'Calorie Sources Data'!G85</f>
        <v>0</v>
      </c>
    </row>
    <row r="26" spans="1:10">
      <c r="A26" s="356" t="s">
        <v>552</v>
      </c>
      <c r="B26" s="154"/>
      <c r="C26" s="357">
        <f>'Stored Ingredients Reqs 6mo'!$C$18*0.2</f>
        <v>2</v>
      </c>
      <c r="D26" s="188"/>
      <c r="E26" s="188"/>
      <c r="F26" s="156"/>
      <c r="G26" s="246">
        <f>C26*'Calorie Planning Factors'!$B$4</f>
        <v>0</v>
      </c>
      <c r="H26" s="165">
        <f t="shared" si="0"/>
        <v>0</v>
      </c>
      <c r="I26" s="347">
        <f>G26/'Calorie Sources Data'!H86*'Calorie Sources Data'!G86</f>
        <v>0</v>
      </c>
    </row>
    <row r="27" spans="1:10">
      <c r="A27" s="188"/>
      <c r="B27" s="154"/>
      <c r="C27" s="156"/>
      <c r="D27" s="188"/>
      <c r="E27" s="188"/>
      <c r="F27" s="156"/>
      <c r="G27" s="156"/>
      <c r="H27" s="152"/>
      <c r="I27" s="152"/>
    </row>
    <row r="28" spans="1:10">
      <c r="A28" s="152"/>
      <c r="B28" s="152"/>
      <c r="C28" s="228">
        <f>SUM(C24:C27)</f>
        <v>10</v>
      </c>
      <c r="D28" s="152"/>
      <c r="E28" s="152"/>
      <c r="F28" s="152"/>
      <c r="G28" s="165">
        <f>C28*'Calorie Planning Factors'!$B$4</f>
        <v>0</v>
      </c>
      <c r="H28" s="165">
        <f>SUM(H24:H27)</f>
        <v>0</v>
      </c>
      <c r="I28" s="337">
        <f>SUM(I24:I27)</f>
        <v>0</v>
      </c>
    </row>
    <row r="30" spans="1:10" ht="18">
      <c r="A30" s="188" t="s">
        <v>330</v>
      </c>
      <c r="B30" s="152"/>
      <c r="C30" s="152"/>
      <c r="D30" s="156" t="s">
        <v>112</v>
      </c>
      <c r="E30" s="152"/>
      <c r="F30" s="152"/>
      <c r="G30" s="152"/>
      <c r="H30" s="156" t="s">
        <v>112</v>
      </c>
      <c r="I30" s="156" t="s">
        <v>528</v>
      </c>
    </row>
    <row r="31" spans="1:10">
      <c r="A31" s="225" t="s">
        <v>116</v>
      </c>
      <c r="B31" s="233" t="s">
        <v>121</v>
      </c>
      <c r="C31" s="228">
        <f>('Stored Ingredients Reqs 6mo'!C21/6)*'Calorie Planning Factors'!$F$39</f>
        <v>0</v>
      </c>
      <c r="D31" s="231">
        <f>C31/5</f>
        <v>0</v>
      </c>
      <c r="E31" s="152"/>
      <c r="F31" s="233" t="s">
        <v>121</v>
      </c>
      <c r="G31" s="165">
        <f>C31*'Calorie Planning Factors'!$B$4</f>
        <v>0</v>
      </c>
      <c r="H31" s="165">
        <f>G31/5</f>
        <v>0</v>
      </c>
      <c r="I31" s="347">
        <f>G31/'Calorie Sources Data'!H53*'Calorie Sources Data'!G53</f>
        <v>0</v>
      </c>
      <c r="J31" s="30"/>
    </row>
    <row r="32" spans="1:10">
      <c r="A32" s="225" t="s">
        <v>117</v>
      </c>
      <c r="B32" s="233" t="s">
        <v>111</v>
      </c>
      <c r="C32" s="228">
        <f>('Stored Ingredients Reqs 6mo'!C22/6)*'Calorie Planning Factors'!$F$39</f>
        <v>0</v>
      </c>
      <c r="D32" s="231">
        <f>C32/'Food-related Resourses'!C91</f>
        <v>0</v>
      </c>
      <c r="E32" s="152"/>
      <c r="F32" s="233" t="s">
        <v>111</v>
      </c>
      <c r="G32" s="165">
        <f>C32*'Calorie Planning Factors'!$B$4</f>
        <v>0</v>
      </c>
      <c r="H32" s="228"/>
      <c r="I32" s="347">
        <f>G32/'Calorie Sources Data'!H54*'Calorie Sources Data'!G54</f>
        <v>0</v>
      </c>
      <c r="J32" s="30"/>
    </row>
    <row r="33" spans="1:10">
      <c r="A33" s="225" t="s">
        <v>118</v>
      </c>
      <c r="B33" s="233" t="s">
        <v>122</v>
      </c>
      <c r="C33" s="228">
        <f>('Stored Ingredients Reqs 6mo'!C23/6)*'Calorie Planning Factors'!$F$39</f>
        <v>0</v>
      </c>
      <c r="D33" s="229">
        <f>C33/5</f>
        <v>0</v>
      </c>
      <c r="E33" s="152"/>
      <c r="F33" s="233" t="s">
        <v>121</v>
      </c>
      <c r="G33" s="165">
        <f>(C33*'Calorie Planning Factors'!$B$4)/4</f>
        <v>0</v>
      </c>
      <c r="H33" s="229"/>
      <c r="I33" s="347">
        <f>G33/'Calorie Sources Data'!H55*'Calorie Sources Data'!G55</f>
        <v>0</v>
      </c>
      <c r="J33" s="30"/>
    </row>
    <row r="34" spans="1:10">
      <c r="A34" s="225" t="s">
        <v>119</v>
      </c>
      <c r="B34" s="233" t="s">
        <v>122</v>
      </c>
      <c r="C34" s="228">
        <f>('Stored Ingredients Reqs 6mo'!C24/6)*'Calorie Planning Factors'!$F$39</f>
        <v>0</v>
      </c>
      <c r="D34" s="229">
        <f>C34/5</f>
        <v>0</v>
      </c>
      <c r="E34" s="152"/>
      <c r="F34" s="233" t="s">
        <v>121</v>
      </c>
      <c r="G34" s="165">
        <f>(C34*'Calorie Planning Factors'!$B$4)/4</f>
        <v>0</v>
      </c>
      <c r="H34" s="229"/>
      <c r="I34" s="347">
        <f>G34/'Calorie Sources Data'!H56*'Calorie Sources Data'!G56</f>
        <v>0</v>
      </c>
      <c r="J34" s="30"/>
    </row>
    <row r="35" spans="1:10">
      <c r="A35" s="225" t="s">
        <v>120</v>
      </c>
      <c r="B35" s="233" t="s">
        <v>111</v>
      </c>
      <c r="C35" s="228">
        <f>('Stored Ingredients Reqs 6mo'!C25/6)*'Calorie Planning Factors'!$F$39</f>
        <v>0</v>
      </c>
      <c r="D35" s="231">
        <f>C35/'Food-related Resourses'!C93</f>
        <v>0</v>
      </c>
      <c r="E35" s="152"/>
      <c r="F35" s="233" t="s">
        <v>111</v>
      </c>
      <c r="G35" s="165">
        <f>C35*'Calorie Planning Factors'!$B$4</f>
        <v>0</v>
      </c>
      <c r="H35" s="228"/>
      <c r="I35" s="347">
        <f>G35/'Calorie Sources Data'!H59*'Calorie Sources Data'!G59</f>
        <v>0</v>
      </c>
      <c r="J35" s="30"/>
    </row>
    <row r="36" spans="1:10">
      <c r="A36" s="225" t="s">
        <v>266</v>
      </c>
      <c r="B36" s="233" t="s">
        <v>111</v>
      </c>
      <c r="C36" s="228">
        <f>('Stored Ingredients Reqs 6mo'!C26/6)*'Calorie Planning Factors'!$F$39</f>
        <v>0</v>
      </c>
      <c r="D36" s="231">
        <f>SUM(D31:D35)</f>
        <v>0</v>
      </c>
      <c r="E36" s="152"/>
      <c r="F36" s="233" t="s">
        <v>111</v>
      </c>
      <c r="G36" s="165">
        <f>C36*'Calorie Planning Factors'!$B$4</f>
        <v>0</v>
      </c>
      <c r="H36" s="228"/>
      <c r="I36" s="347">
        <f>G36/'Calorie Sources Data'!H58*'Calorie Sources Data'!G58</f>
        <v>0</v>
      </c>
      <c r="J36" s="30"/>
    </row>
    <row r="37" spans="1:10">
      <c r="A37" s="239" t="s">
        <v>123</v>
      </c>
      <c r="B37" s="154"/>
      <c r="C37" s="152"/>
      <c r="D37" s="152"/>
      <c r="E37" s="152"/>
      <c r="F37" s="152"/>
      <c r="G37" s="154"/>
      <c r="H37" s="165">
        <f>SUM(H31:H36)</f>
        <v>0</v>
      </c>
      <c r="I37" s="337">
        <f>SUM(I31:I36)</f>
        <v>0</v>
      </c>
    </row>
    <row r="39" spans="1:10" ht="18">
      <c r="A39" s="188" t="s">
        <v>331</v>
      </c>
      <c r="B39" s="152"/>
      <c r="C39" s="156" t="s">
        <v>111</v>
      </c>
      <c r="D39" s="188" t="s">
        <v>112</v>
      </c>
      <c r="E39" s="188"/>
      <c r="F39" s="188"/>
      <c r="G39" s="156" t="s">
        <v>111</v>
      </c>
      <c r="H39" s="156" t="s">
        <v>112</v>
      </c>
      <c r="I39" s="156" t="s">
        <v>528</v>
      </c>
    </row>
    <row r="40" spans="1:10">
      <c r="A40" s="225" t="s">
        <v>125</v>
      </c>
      <c r="B40" s="152"/>
      <c r="C40" s="228">
        <f>('Stored Ingredients Reqs 6mo'!C30/6)*'Calorie Planning Factors'!$F$39</f>
        <v>0</v>
      </c>
      <c r="D40" s="228">
        <f>C40/'Food-related Resourses'!C76</f>
        <v>0</v>
      </c>
      <c r="E40" s="152"/>
      <c r="F40" s="152"/>
      <c r="G40" s="191">
        <f>C40*'Calorie Planning Factors'!$B$4</f>
        <v>0</v>
      </c>
      <c r="H40" s="165">
        <f>D40*'Calorie Planning Factors'!$B$4</f>
        <v>0</v>
      </c>
      <c r="I40" s="347">
        <f>G40/'Calorie Sources Data'!H31*'Calorie Sources Data'!G31</f>
        <v>0</v>
      </c>
    </row>
    <row r="41" spans="1:10">
      <c r="A41" s="225" t="s">
        <v>126</v>
      </c>
      <c r="B41" s="152"/>
      <c r="C41" s="228">
        <f>('Stored Ingredients Reqs 6mo'!C31/6)*'Calorie Planning Factors'!$F$39</f>
        <v>0</v>
      </c>
      <c r="D41" s="228">
        <f>C41/'Food-related Resourses'!C79</f>
        <v>0</v>
      </c>
      <c r="E41" s="152"/>
      <c r="F41" s="152"/>
      <c r="G41" s="191">
        <f>C41*'Calorie Planning Factors'!$B$4</f>
        <v>0</v>
      </c>
      <c r="H41" s="165">
        <f>D41*'Calorie Planning Factors'!$B$4</f>
        <v>0</v>
      </c>
      <c r="I41" s="347">
        <f>G41/'Calorie Sources Data'!H41*'Calorie Sources Data'!G41</f>
        <v>0</v>
      </c>
    </row>
    <row r="42" spans="1:10">
      <c r="A42" s="225" t="s">
        <v>127</v>
      </c>
      <c r="B42" s="152"/>
      <c r="C42" s="228">
        <f>('Stored Ingredients Reqs 6mo'!C32/6)*'Calorie Planning Factors'!$F$39</f>
        <v>0</v>
      </c>
      <c r="D42" s="228">
        <f>C42/'Food-related Resourses'!C76</f>
        <v>0</v>
      </c>
      <c r="E42" s="152"/>
      <c r="F42" s="152"/>
      <c r="G42" s="191">
        <f>C42*'Calorie Planning Factors'!$B$4</f>
        <v>0</v>
      </c>
      <c r="H42" s="165">
        <f>D42*'Calorie Planning Factors'!$B$4</f>
        <v>0</v>
      </c>
      <c r="I42" s="347">
        <f>G42/'Calorie Sources Data'!H42*'Calorie Sources Data'!G42</f>
        <v>0</v>
      </c>
    </row>
    <row r="43" spans="1:10">
      <c r="A43" s="225" t="s">
        <v>128</v>
      </c>
      <c r="B43" s="152"/>
      <c r="C43" s="228">
        <f>('Stored Ingredients Reqs 6mo'!C33/6)*'Calorie Planning Factors'!$F$39</f>
        <v>0</v>
      </c>
      <c r="D43" s="228">
        <f>C43/'Food-related Resourses'!C80</f>
        <v>0</v>
      </c>
      <c r="E43" s="152"/>
      <c r="F43" s="152"/>
      <c r="G43" s="191">
        <f>C43*'Calorie Planning Factors'!$B$4</f>
        <v>0</v>
      </c>
      <c r="H43" s="165">
        <f>D43*'Calorie Planning Factors'!$B$4</f>
        <v>0</v>
      </c>
      <c r="I43" s="347">
        <f>G43/'Calorie Sources Data'!H38*'Calorie Sources Data'!G38</f>
        <v>0</v>
      </c>
    </row>
    <row r="44" spans="1:10">
      <c r="A44" s="225" t="s">
        <v>130</v>
      </c>
      <c r="B44" s="152"/>
      <c r="C44" s="228">
        <f>('Stored Ingredients Reqs 6mo'!C34/6)*'Calorie Planning Factors'!$F$39</f>
        <v>0</v>
      </c>
      <c r="D44" s="228">
        <f>C44/'Food-related Resourses'!C77</f>
        <v>0</v>
      </c>
      <c r="E44" s="152"/>
      <c r="F44" s="152"/>
      <c r="G44" s="191">
        <f>C44*'Calorie Planning Factors'!$B$4</f>
        <v>0</v>
      </c>
      <c r="H44" s="165">
        <f>D44*'Calorie Planning Factors'!$B$4</f>
        <v>0</v>
      </c>
      <c r="I44" s="347">
        <f>G44/'Calorie Sources Data'!H40*'Calorie Sources Data'!G40</f>
        <v>0</v>
      </c>
    </row>
    <row r="45" spans="1:10">
      <c r="A45" s="225" t="s">
        <v>129</v>
      </c>
      <c r="B45" s="152"/>
      <c r="C45" s="228">
        <f>('Stored Ingredients Reqs 6mo'!C35/6)*'Calorie Planning Factors'!$F$39</f>
        <v>0</v>
      </c>
      <c r="D45" s="228">
        <f>C45/'Food-related Resourses'!C74</f>
        <v>0</v>
      </c>
      <c r="E45" s="152"/>
      <c r="F45" s="152"/>
      <c r="G45" s="191">
        <f>C45*'Calorie Planning Factors'!$B$4</f>
        <v>0</v>
      </c>
      <c r="H45" s="165">
        <f>D45*'Calorie Planning Factors'!$B$4</f>
        <v>0</v>
      </c>
      <c r="I45" s="347">
        <f>G45/'Calorie Sources Data'!H39*'Calorie Sources Data'!G39</f>
        <v>0</v>
      </c>
    </row>
    <row r="46" spans="1:10">
      <c r="A46" s="239" t="s">
        <v>135</v>
      </c>
      <c r="B46" s="152"/>
      <c r="C46" s="228">
        <f>SUM(C40:C45)</f>
        <v>0</v>
      </c>
      <c r="D46" s="228">
        <f>SUM(D40:D45)</f>
        <v>0</v>
      </c>
      <c r="E46" s="152"/>
      <c r="F46" s="152"/>
      <c r="G46" s="191">
        <f>SUM(G40:G45)</f>
        <v>0</v>
      </c>
      <c r="H46" s="165">
        <f>SUM(H40:H45)</f>
        <v>0</v>
      </c>
      <c r="I46" s="347">
        <f>SUM(I40:I45)</f>
        <v>0</v>
      </c>
    </row>
    <row r="48" spans="1:10" ht="18">
      <c r="A48" s="188" t="s">
        <v>332</v>
      </c>
      <c r="B48" s="152"/>
      <c r="C48" s="152"/>
      <c r="D48" s="188" t="s">
        <v>112</v>
      </c>
      <c r="E48" s="188"/>
      <c r="F48" s="188"/>
      <c r="G48" s="188"/>
      <c r="H48" s="156" t="s">
        <v>112</v>
      </c>
      <c r="I48" s="156" t="s">
        <v>501</v>
      </c>
      <c r="J48" s="156" t="s">
        <v>528</v>
      </c>
    </row>
    <row r="49" spans="1:10">
      <c r="A49" s="225" t="s">
        <v>131</v>
      </c>
      <c r="B49" s="233" t="s">
        <v>111</v>
      </c>
      <c r="C49" s="228">
        <f>('Stored Ingredients Reqs 6mo'!C39/6)*'Calorie Planning Factors'!$F$39</f>
        <v>0</v>
      </c>
      <c r="D49" s="228">
        <f>C49/'Food-related Resourses'!C84</f>
        <v>0</v>
      </c>
      <c r="E49" s="152"/>
      <c r="F49" s="233" t="s">
        <v>111</v>
      </c>
      <c r="G49" s="165">
        <f>C50*'Calorie Planning Factors'!$B$4</f>
        <v>0</v>
      </c>
      <c r="H49" s="165">
        <f>D49*'Calorie Planning Factors'!$B$4</f>
        <v>0</v>
      </c>
      <c r="I49" s="152"/>
      <c r="J49" s="347">
        <f>G49/'Calorie Sources Data'!H47*'Calorie Sources Data'!G47</f>
        <v>0</v>
      </c>
    </row>
    <row r="50" spans="1:10">
      <c r="A50" s="225" t="s">
        <v>132</v>
      </c>
      <c r="B50" s="233" t="s">
        <v>134</v>
      </c>
      <c r="C50" s="228">
        <f>('Stored Ingredients Reqs 6mo'!C40/6)*'Calorie Planning Factors'!$F$39</f>
        <v>0</v>
      </c>
      <c r="D50" s="229">
        <f>C50/'Food-related Resourses'!D95</f>
        <v>0</v>
      </c>
      <c r="E50" s="152"/>
      <c r="F50" s="233" t="s">
        <v>134</v>
      </c>
      <c r="G50" s="165">
        <f>C51*'Calorie Planning Factors'!$B$4</f>
        <v>0</v>
      </c>
      <c r="H50" s="152"/>
      <c r="I50" s="229">
        <f>G50/'Food-related Resourses'!D95</f>
        <v>0</v>
      </c>
      <c r="J50" s="347">
        <f>G50/'Calorie Sources Data'!H49*'Calorie Sources Data'!G49</f>
        <v>0</v>
      </c>
    </row>
    <row r="51" spans="1:10">
      <c r="A51" s="225" t="s">
        <v>547</v>
      </c>
      <c r="B51" s="233" t="s">
        <v>111</v>
      </c>
      <c r="C51" s="228">
        <f>('Stored Ingredients Reqs 6mo'!C41/6)*'Calorie Planning Factors'!$F$39</f>
        <v>0</v>
      </c>
      <c r="D51" s="229">
        <f>C51/'Food-related Resourses'!C85</f>
        <v>0</v>
      </c>
      <c r="E51" s="152"/>
      <c r="F51" s="233" t="s">
        <v>111</v>
      </c>
      <c r="G51" s="165">
        <f>C51*'Calorie Planning Factors'!$B$4</f>
        <v>0</v>
      </c>
      <c r="H51" s="229">
        <f>G51/'Food-related Resourses'!C85</f>
        <v>0</v>
      </c>
      <c r="I51" s="152"/>
      <c r="J51" s="347">
        <f>((G51/2)/'Calorie Sources Data'!H48*'Calorie Sources Data'!G48)+((G51/2)/'Calorie Sources Data'!H50*'Calorie Sources Data'!G50)</f>
        <v>0</v>
      </c>
    </row>
    <row r="52" spans="1:10">
      <c r="A52" s="239" t="s">
        <v>410</v>
      </c>
      <c r="B52" s="154"/>
      <c r="C52" s="152"/>
      <c r="D52" s="228">
        <f>SUM(D49:D51)</f>
        <v>0</v>
      </c>
      <c r="E52" s="152"/>
      <c r="F52" s="154"/>
      <c r="G52" s="152"/>
      <c r="H52" s="165">
        <f>SUM(H49:H51)</f>
        <v>0</v>
      </c>
      <c r="I52" s="229">
        <f>SUM(I50:I51)</f>
        <v>0</v>
      </c>
      <c r="J52" s="347">
        <f>SUM(J49:J51)</f>
        <v>0</v>
      </c>
    </row>
    <row r="54" spans="1:10" ht="18">
      <c r="A54" s="188" t="s">
        <v>137</v>
      </c>
      <c r="B54" s="152"/>
      <c r="C54" s="156" t="s">
        <v>111</v>
      </c>
      <c r="D54" s="188" t="s">
        <v>112</v>
      </c>
      <c r="E54" s="188"/>
      <c r="F54" s="188"/>
      <c r="G54" s="156" t="s">
        <v>111</v>
      </c>
      <c r="H54" s="156" t="s">
        <v>112</v>
      </c>
      <c r="I54" s="350" t="s">
        <v>501</v>
      </c>
      <c r="J54" s="156" t="s">
        <v>528</v>
      </c>
    </row>
    <row r="55" spans="1:10">
      <c r="A55" s="225" t="s">
        <v>138</v>
      </c>
      <c r="B55" s="152"/>
      <c r="C55" s="228">
        <f>('Stored Ingredients Reqs 6mo'!C45/6)*'Calorie Planning Factors'!$F$39</f>
        <v>0</v>
      </c>
      <c r="D55" s="228">
        <f>C55/'Food-related Resourses'!C82</f>
        <v>0</v>
      </c>
      <c r="E55" s="152"/>
      <c r="F55" s="152"/>
      <c r="G55" s="191">
        <f>C55*'Calorie Planning Factors'!$B$4</f>
        <v>0</v>
      </c>
      <c r="H55" s="165">
        <f>D55*'Calorie Planning Factors'!$B$4</f>
        <v>0</v>
      </c>
      <c r="I55" s="321"/>
      <c r="J55" s="347">
        <f>G55/'Calorie Sources Data'!H62*'Calorie Sources Data'!G62</f>
        <v>0</v>
      </c>
    </row>
    <row r="56" spans="1:10">
      <c r="A56" s="225" t="s">
        <v>139</v>
      </c>
      <c r="B56" s="152"/>
      <c r="C56" s="228">
        <f>('Stored Ingredients Reqs 6mo'!C46/6)*'Calorie Planning Factors'!$F$39</f>
        <v>0</v>
      </c>
      <c r="D56" s="228">
        <f>C56/'Food-related Resourses'!B97</f>
        <v>0</v>
      </c>
      <c r="E56" s="152"/>
      <c r="F56" s="152"/>
      <c r="G56" s="191">
        <f>C56*'Calorie Planning Factors'!$B$4</f>
        <v>0</v>
      </c>
      <c r="H56" s="188"/>
      <c r="I56" s="351">
        <f>G56/'Food-related Resourses'!B97</f>
        <v>0</v>
      </c>
      <c r="J56" s="347">
        <f>G56/'Calorie Sources Data'!H63*'Calorie Sources Data'!G63</f>
        <v>0</v>
      </c>
    </row>
    <row r="57" spans="1:10">
      <c r="A57" s="225" t="s">
        <v>140</v>
      </c>
      <c r="B57" s="152"/>
      <c r="C57" s="228">
        <f>('Stored Ingredients Reqs 6mo'!C47/6)*'Calorie Planning Factors'!$F$39</f>
        <v>0</v>
      </c>
      <c r="D57" s="228">
        <f>C57/'Food-related Resourses'!B98</f>
        <v>0</v>
      </c>
      <c r="E57" s="152"/>
      <c r="F57" s="152"/>
      <c r="G57" s="191">
        <f>C57*'Calorie Planning Factors'!$B$4</f>
        <v>0</v>
      </c>
      <c r="H57" s="188"/>
      <c r="I57" s="352">
        <f>G57/'Food-related Resourses'!B98</f>
        <v>0</v>
      </c>
      <c r="J57" s="347">
        <f>G57/'Calorie Sources Data'!H64*'Calorie Sources Data'!G64</f>
        <v>0</v>
      </c>
    </row>
    <row r="58" spans="1:10">
      <c r="A58" s="225" t="s">
        <v>141</v>
      </c>
      <c r="B58" s="152"/>
      <c r="C58" s="228">
        <f>('Stored Ingredients Reqs 6mo'!C48/6)*'Calorie Planning Factors'!$F$39</f>
        <v>0</v>
      </c>
      <c r="D58" s="228">
        <f>C58/'Food-related Resourses'!C83</f>
        <v>0</v>
      </c>
      <c r="E58" s="152"/>
      <c r="F58" s="152"/>
      <c r="G58" s="191">
        <f>C58*'Calorie Planning Factors'!$B$4</f>
        <v>0</v>
      </c>
      <c r="H58" s="165">
        <f>D58*'Calorie Planning Factors'!$B$4</f>
        <v>0</v>
      </c>
      <c r="I58" s="321"/>
      <c r="J58" s="347">
        <f>G58/'Calorie Sources Data'!H65*'Calorie Sources Data'!G65</f>
        <v>0</v>
      </c>
    </row>
    <row r="59" spans="1:10">
      <c r="A59" s="225" t="s">
        <v>142</v>
      </c>
      <c r="B59" s="152"/>
      <c r="C59" s="228">
        <f>('Stored Ingredients Reqs 6mo'!C49/6)*'Calorie Planning Factors'!$F$39</f>
        <v>0</v>
      </c>
      <c r="D59" s="228">
        <f>C59/'Food-related Resourses'!C99</f>
        <v>0</v>
      </c>
      <c r="E59" s="152"/>
      <c r="F59" s="152"/>
      <c r="G59" s="191">
        <f>C59*'Calorie Planning Factors'!$B$4</f>
        <v>0</v>
      </c>
      <c r="H59" s="283">
        <f>G59/'Food-related Resourses'!C99</f>
        <v>0</v>
      </c>
      <c r="I59" s="321"/>
      <c r="J59" s="347">
        <f>G59/'Calorie Sources Data'!H66*'Calorie Sources Data'!G66</f>
        <v>0</v>
      </c>
    </row>
    <row r="60" spans="1:10">
      <c r="A60" s="225" t="s">
        <v>143</v>
      </c>
      <c r="B60" s="152"/>
      <c r="C60" s="228">
        <f>('Stored Ingredients Reqs 6mo'!C50/6)*'Calorie Planning Factors'!$F$39</f>
        <v>0</v>
      </c>
      <c r="D60" s="228">
        <f>C60/'Food-related Resourses'!C100</f>
        <v>0</v>
      </c>
      <c r="E60" s="152"/>
      <c r="F60" s="152"/>
      <c r="G60" s="191">
        <f>C60*'Calorie Planning Factors'!$B$4</f>
        <v>0</v>
      </c>
      <c r="H60" s="283">
        <f>G60/'Food-related Resourses'!C100</f>
        <v>0</v>
      </c>
      <c r="I60" s="321"/>
      <c r="J60" s="347">
        <f>G60/'Calorie Sources Data'!H67*'Calorie Sources Data'!G67</f>
        <v>0</v>
      </c>
    </row>
    <row r="61" spans="1:10">
      <c r="A61" s="225" t="s">
        <v>144</v>
      </c>
      <c r="B61" s="152"/>
      <c r="C61" s="228">
        <f>('Stored Ingredients Reqs 6mo'!C51/6)*'Calorie Planning Factors'!$F$39</f>
        <v>0</v>
      </c>
      <c r="D61" s="228">
        <f>C61/'Food-related Resourses'!C102</f>
        <v>0</v>
      </c>
      <c r="E61" s="152"/>
      <c r="F61" s="152"/>
      <c r="G61" s="191">
        <f>C61*'Calorie Planning Factors'!$B$4</f>
        <v>0</v>
      </c>
      <c r="H61" s="283">
        <f>G61/'Food-related Resourses'!C102</f>
        <v>0</v>
      </c>
      <c r="I61" s="322">
        <f>SUM(I55:I60)</f>
        <v>0</v>
      </c>
      <c r="J61" s="347">
        <f>G61/'Calorie Sources Data'!H68*'Calorie Sources Data'!G68</f>
        <v>0</v>
      </c>
    </row>
    <row r="62" spans="1:10">
      <c r="A62" s="225" t="s">
        <v>145</v>
      </c>
      <c r="B62" s="152"/>
      <c r="C62" s="228">
        <f>('Stored Ingredients Reqs 6mo'!C52/6)*'Calorie Planning Factors'!$F$39</f>
        <v>0</v>
      </c>
      <c r="D62" s="228">
        <f>C62/'Food-related Resourses'!C101</f>
        <v>0</v>
      </c>
      <c r="E62" s="152"/>
      <c r="F62" s="152"/>
      <c r="G62" s="191">
        <f>C62*'Calorie Planning Factors'!$B$4</f>
        <v>0</v>
      </c>
      <c r="H62" s="283">
        <f>G62/'Food-related Resourses'!C101</f>
        <v>0</v>
      </c>
      <c r="I62" s="152"/>
      <c r="J62" s="347">
        <f>G62/'Calorie Sources Data'!H69*'Calorie Sources Data'!G69</f>
        <v>0</v>
      </c>
    </row>
    <row r="63" spans="1:10">
      <c r="A63" s="239" t="s">
        <v>146</v>
      </c>
      <c r="B63" s="152"/>
      <c r="C63" s="228">
        <f>SUM(C55:C62)</f>
        <v>0</v>
      </c>
      <c r="D63" s="228">
        <f>SUM(D55:D62)</f>
        <v>0</v>
      </c>
      <c r="E63" s="152"/>
      <c r="F63" s="152"/>
      <c r="G63" s="191">
        <f>SUM(G55:G62)</f>
        <v>0</v>
      </c>
      <c r="H63" s="165">
        <f>SUM(H55:H62)</f>
        <v>0</v>
      </c>
      <c r="I63" s="152"/>
      <c r="J63" s="347">
        <f>SUM(J55:J62)</f>
        <v>0</v>
      </c>
    </row>
    <row r="64" spans="1:10">
      <c r="A64" s="27"/>
    </row>
    <row r="65" spans="1:10" ht="18">
      <c r="A65" s="235" t="s">
        <v>333</v>
      </c>
      <c r="B65" s="152"/>
      <c r="C65" s="152"/>
      <c r="D65" s="188" t="s">
        <v>112</v>
      </c>
      <c r="E65" s="188"/>
      <c r="F65" s="188"/>
      <c r="G65" s="188"/>
      <c r="H65" s="156" t="s">
        <v>112</v>
      </c>
      <c r="I65" s="156" t="s">
        <v>528</v>
      </c>
    </row>
    <row r="66" spans="1:10">
      <c r="A66" s="225" t="s">
        <v>147</v>
      </c>
      <c r="B66" s="233" t="s">
        <v>111</v>
      </c>
      <c r="C66" s="228">
        <f>('Stored Ingredients Reqs 6mo'!C56/6)*'Calorie Planning Factors'!$F$39</f>
        <v>0</v>
      </c>
      <c r="D66" s="231">
        <f>C66/'Food-related Resourses'!C86</f>
        <v>0</v>
      </c>
      <c r="E66" s="152"/>
      <c r="F66" s="233" t="s">
        <v>111</v>
      </c>
      <c r="G66" s="191">
        <f>C66*'Calorie Planning Factors'!$B$4</f>
        <v>0</v>
      </c>
      <c r="H66" s="232">
        <f>D66*'Calorie Planning Factors'!$B$4</f>
        <v>0</v>
      </c>
      <c r="I66" s="347">
        <f>G66/'Calorie Sources Data'!H72*'Calorie Sources Data'!G72</f>
        <v>0</v>
      </c>
    </row>
    <row r="67" spans="1:10">
      <c r="A67" s="225" t="s">
        <v>148</v>
      </c>
      <c r="B67" s="233" t="s">
        <v>111</v>
      </c>
      <c r="C67" s="228">
        <f>('Stored Ingredients Reqs 6mo'!C57/6)*'Calorie Planning Factors'!$F$39</f>
        <v>0</v>
      </c>
      <c r="D67" s="231">
        <f>C67/'Food-related Resourses'!C88</f>
        <v>0</v>
      </c>
      <c r="E67" s="152"/>
      <c r="F67" s="233" t="s">
        <v>111</v>
      </c>
      <c r="G67" s="191">
        <f>C67*'Calorie Planning Factors'!$B$4</f>
        <v>0</v>
      </c>
      <c r="H67" s="232">
        <f>D67*'Calorie Planning Factors'!$B$4</f>
        <v>0</v>
      </c>
      <c r="I67" s="347">
        <f>G67/'Calorie Sources Data'!H73*'Calorie Sources Data'!G73</f>
        <v>0</v>
      </c>
    </row>
    <row r="68" spans="1:10">
      <c r="A68" s="225" t="s">
        <v>149</v>
      </c>
      <c r="B68" s="233" t="s">
        <v>111</v>
      </c>
      <c r="C68" s="228">
        <f>('Stored Ingredients Reqs 6mo'!C58/6)*'Calorie Planning Factors'!$F$39</f>
        <v>0</v>
      </c>
      <c r="D68" s="231">
        <f>C68/'Food-related Resourses'!C89</f>
        <v>0</v>
      </c>
      <c r="E68" s="152"/>
      <c r="F68" s="233" t="s">
        <v>111</v>
      </c>
      <c r="G68" s="191">
        <f>C68*'Calorie Planning Factors'!$B$4</f>
        <v>0</v>
      </c>
      <c r="H68" s="232">
        <f>D68*'Calorie Planning Factors'!$B$4</f>
        <v>0</v>
      </c>
      <c r="I68" s="347">
        <f>G68/'Calorie Sources Data'!H74*'Calorie Sources Data'!G74</f>
        <v>0</v>
      </c>
    </row>
    <row r="69" spans="1:10">
      <c r="A69" s="225" t="s">
        <v>150</v>
      </c>
      <c r="B69" s="233" t="s">
        <v>111</v>
      </c>
      <c r="C69" s="228">
        <f>('Stored Ingredients Reqs 6mo'!C59/6)*'Calorie Planning Factors'!$F$39</f>
        <v>0</v>
      </c>
      <c r="D69" s="231">
        <f>C69/'Food-related Resourses'!C90</f>
        <v>0</v>
      </c>
      <c r="E69" s="152"/>
      <c r="F69" s="233" t="s">
        <v>111</v>
      </c>
      <c r="G69" s="191">
        <f>C69*'Calorie Planning Factors'!$B$4</f>
        <v>0</v>
      </c>
      <c r="H69" s="232">
        <f>D69*'Calorie Planning Factors'!$B$4</f>
        <v>0</v>
      </c>
      <c r="I69" s="347">
        <f>G69/'Calorie Sources Data'!H75*'Calorie Sources Data'!G75</f>
        <v>0</v>
      </c>
    </row>
    <row r="70" spans="1:10">
      <c r="A70" s="225" t="s">
        <v>151</v>
      </c>
      <c r="B70" s="233" t="s">
        <v>121</v>
      </c>
      <c r="C70" s="228">
        <f>('Stored Ingredients Reqs 6mo'!C60/6)*'Calorie Planning Factors'!$F$39</f>
        <v>0</v>
      </c>
      <c r="D70" s="234"/>
      <c r="E70" s="152"/>
      <c r="F70" s="233" t="s">
        <v>121</v>
      </c>
      <c r="G70" s="191">
        <f>C70*'Calorie Planning Factors'!$B$4</f>
        <v>0</v>
      </c>
      <c r="H70" s="276"/>
      <c r="I70" s="347">
        <f>G70/'Calorie Sources Data'!H76*'Calorie Sources Data'!G76</f>
        <v>0</v>
      </c>
    </row>
    <row r="71" spans="1:10" ht="18">
      <c r="A71" s="242" t="s">
        <v>411</v>
      </c>
      <c r="B71" s="233"/>
      <c r="C71" s="228"/>
      <c r="D71" s="234"/>
      <c r="E71" s="152"/>
      <c r="F71" s="233"/>
      <c r="G71" s="157"/>
      <c r="H71" s="232">
        <f>SUM(H66:H70)</f>
        <v>0</v>
      </c>
      <c r="I71" s="347">
        <f>SUM(I66:I70)</f>
        <v>0</v>
      </c>
    </row>
    <row r="72" spans="1:10">
      <c r="A72" s="27"/>
      <c r="C72" s="36"/>
      <c r="D72" s="36"/>
      <c r="G72" s="38"/>
      <c r="H72" s="36"/>
    </row>
    <row r="73" spans="1:10" ht="17.399999999999999">
      <c r="A73" s="227" t="s">
        <v>334</v>
      </c>
      <c r="B73" s="152"/>
      <c r="C73" s="188"/>
      <c r="D73" s="188"/>
      <c r="E73" s="152"/>
      <c r="F73" s="152"/>
      <c r="G73" s="157"/>
      <c r="H73" s="156" t="s">
        <v>112</v>
      </c>
      <c r="I73" s="350" t="s">
        <v>501</v>
      </c>
      <c r="J73" s="156" t="s">
        <v>528</v>
      </c>
    </row>
    <row r="74" spans="1:10">
      <c r="A74" s="225" t="s">
        <v>548</v>
      </c>
      <c r="B74" s="233" t="s">
        <v>121</v>
      </c>
      <c r="C74" s="228">
        <v>24</v>
      </c>
      <c r="D74" s="188"/>
      <c r="E74" s="152"/>
      <c r="F74" s="233" t="s">
        <v>121</v>
      </c>
      <c r="G74" s="191">
        <f>(C74*'Calorie Planning Factors'!$B$4)</f>
        <v>0</v>
      </c>
      <c r="H74" s="188"/>
      <c r="I74" s="351">
        <f>(G74*4)/3</f>
        <v>0</v>
      </c>
      <c r="J74" s="276">
        <f>G74/'Calorie Sources Data'!H80*'Calorie Sources Data'!G80</f>
        <v>0</v>
      </c>
    </row>
    <row r="75" spans="1:10">
      <c r="A75" s="225" t="s">
        <v>549</v>
      </c>
      <c r="B75" s="233" t="s">
        <v>121</v>
      </c>
      <c r="C75" s="228">
        <v>8</v>
      </c>
      <c r="D75" s="188"/>
      <c r="E75" s="152"/>
      <c r="F75" s="233"/>
      <c r="G75" s="191">
        <f>(C75*'Calorie Planning Factors'!$B$4)</f>
        <v>0</v>
      </c>
      <c r="H75" s="188"/>
      <c r="I75" s="351">
        <f>(G75*4)/3</f>
        <v>0</v>
      </c>
      <c r="J75" s="276">
        <f>G75/'Calorie Sources Data'!H79*'Calorie Sources Data'!G79</f>
        <v>0</v>
      </c>
    </row>
    <row r="76" spans="1:10">
      <c r="A76" s="225" t="s">
        <v>154</v>
      </c>
      <c r="B76" s="233" t="s">
        <v>111</v>
      </c>
      <c r="C76" s="228">
        <f>('Stored Ingredients Reqs 6mo'!C64/6)*'Calorie Planning Factors'!$F$39</f>
        <v>0</v>
      </c>
      <c r="D76" s="229">
        <f>C76/'Food-related Resourses'!C103</f>
        <v>0</v>
      </c>
      <c r="E76" s="152"/>
      <c r="F76" s="233" t="s">
        <v>111</v>
      </c>
      <c r="G76" s="191">
        <f>C76*'Calorie Planning Factors'!$B$4</f>
        <v>0</v>
      </c>
      <c r="H76" s="191">
        <f>G76/'Food-related Resourses'!C103</f>
        <v>0</v>
      </c>
      <c r="I76" s="97"/>
      <c r="J76" s="276">
        <f>G76/'Calorie Sources Data'!H81*'Calorie Sources Data'!G81</f>
        <v>0</v>
      </c>
    </row>
    <row r="77" spans="1:10">
      <c r="A77" s="239" t="s">
        <v>412</v>
      </c>
      <c r="B77" s="233"/>
      <c r="C77" s="226"/>
      <c r="D77" s="188"/>
      <c r="E77" s="152"/>
      <c r="F77" s="233"/>
      <c r="G77" s="157"/>
      <c r="H77" s="191">
        <f>SUM(H74:H76)</f>
        <v>0</v>
      </c>
      <c r="I77" s="276">
        <f>SUM(I74:I76)</f>
        <v>0</v>
      </c>
      <c r="J77" s="276">
        <f>SUM(J74:J76)</f>
        <v>0</v>
      </c>
    </row>
    <row r="78" spans="1:10">
      <c r="A78" s="298"/>
      <c r="B78" s="296"/>
      <c r="C78" s="316"/>
      <c r="D78" s="115"/>
      <c r="E78" s="199"/>
      <c r="F78" s="296"/>
      <c r="G78" s="299"/>
      <c r="H78" s="299"/>
      <c r="I78" s="295"/>
      <c r="J78" s="295"/>
    </row>
    <row r="79" spans="1:10" ht="15" customHeight="1">
      <c r="A79" s="227" t="s">
        <v>574</v>
      </c>
      <c r="B79" s="233"/>
      <c r="C79" s="226"/>
      <c r="D79" s="188"/>
      <c r="E79" s="152"/>
      <c r="F79" s="233"/>
      <c r="G79" s="157"/>
      <c r="H79" s="157"/>
      <c r="I79" s="158"/>
      <c r="J79" s="373" t="s">
        <v>528</v>
      </c>
    </row>
    <row r="80" spans="1:10">
      <c r="A80" s="356" t="s">
        <v>564</v>
      </c>
      <c r="B80" s="233" t="s">
        <v>111</v>
      </c>
      <c r="C80" s="228">
        <v>0.5</v>
      </c>
      <c r="D80" s="188"/>
      <c r="E80" s="152"/>
      <c r="F80" s="233" t="s">
        <v>111</v>
      </c>
      <c r="G80" s="191">
        <f>C80*'Calorie Planning Factors'!$B$4</f>
        <v>0</v>
      </c>
      <c r="H80" s="157"/>
      <c r="I80" s="158"/>
      <c r="J80" s="276">
        <f>G80/'Calorie Sources Data'!H111*'Calorie Sources Data'!G111</f>
        <v>0</v>
      </c>
    </row>
    <row r="81" spans="1:12">
      <c r="A81" s="356" t="s">
        <v>572</v>
      </c>
      <c r="B81" s="233" t="s">
        <v>111</v>
      </c>
      <c r="C81" s="228">
        <v>1</v>
      </c>
      <c r="D81" s="188"/>
      <c r="E81" s="152"/>
      <c r="F81" s="233" t="s">
        <v>111</v>
      </c>
      <c r="G81" s="191">
        <f>C81*'Calorie Planning Factors'!$B$4</f>
        <v>0</v>
      </c>
      <c r="H81" s="157"/>
      <c r="I81" s="158"/>
      <c r="J81" s="276">
        <f>G81/'Calorie Sources Data'!H112*'Calorie Sources Data'!G112</f>
        <v>0</v>
      </c>
    </row>
    <row r="82" spans="1:12">
      <c r="A82" s="356" t="s">
        <v>570</v>
      </c>
      <c r="B82" s="233" t="s">
        <v>111</v>
      </c>
      <c r="C82" s="228">
        <v>1</v>
      </c>
      <c r="D82" s="188"/>
      <c r="E82" s="152"/>
      <c r="F82" s="233" t="s">
        <v>111</v>
      </c>
      <c r="G82" s="191">
        <f>C82*'Calorie Planning Factors'!$B$4</f>
        <v>0</v>
      </c>
      <c r="H82" s="157"/>
      <c r="I82" s="158"/>
      <c r="J82" s="276">
        <f>G82/'Calorie Sources Data'!H113*'Calorie Sources Data'!G113</f>
        <v>0</v>
      </c>
    </row>
    <row r="83" spans="1:12">
      <c r="A83" s="356" t="s">
        <v>565</v>
      </c>
      <c r="B83" s="233" t="s">
        <v>571</v>
      </c>
      <c r="C83" s="228">
        <v>183</v>
      </c>
      <c r="D83" s="188"/>
      <c r="E83" s="152"/>
      <c r="F83" s="233" t="s">
        <v>571</v>
      </c>
      <c r="G83" s="191">
        <f>C83*'Calorie Planning Factors'!$B$4</f>
        <v>0</v>
      </c>
      <c r="H83" s="157"/>
      <c r="I83" s="158"/>
      <c r="J83" s="276">
        <f>G83/'Calorie Sources Data'!H114*'Calorie Sources Data'!G114</f>
        <v>0</v>
      </c>
    </row>
    <row r="84" spans="1:12">
      <c r="A84" s="156" t="s">
        <v>573</v>
      </c>
      <c r="B84" s="233"/>
      <c r="C84" s="228"/>
      <c r="D84" s="188"/>
      <c r="E84" s="152"/>
      <c r="F84" s="233"/>
      <c r="G84" s="191"/>
      <c r="H84" s="157"/>
      <c r="I84" s="158"/>
      <c r="J84" s="276">
        <f>SUM(J80:J83)</f>
        <v>0</v>
      </c>
    </row>
    <row r="85" spans="1:12" ht="16.2" thickBot="1">
      <c r="A85" s="298"/>
      <c r="B85" s="296"/>
      <c r="C85" s="316"/>
      <c r="D85" s="115"/>
      <c r="E85" s="199"/>
      <c r="F85" s="296"/>
      <c r="G85" s="299"/>
      <c r="H85" s="299"/>
      <c r="I85" s="295"/>
      <c r="J85" s="295"/>
      <c r="K85" s="19"/>
    </row>
    <row r="86" spans="1:12" ht="39" customHeight="1" thickBot="1">
      <c r="A86" s="354" t="e">
        <f ca="1">_xlfn.CONCAT("Total Cost All ",'Calorie Planning Factors'!B4," Men &amp; Women NO Canned Meat")</f>
        <v>#NAME?</v>
      </c>
      <c r="B86" s="355">
        <f>I21+I37+I46+J52+J63+I71+J77+J84</f>
        <v>0</v>
      </c>
      <c r="C86" s="316"/>
      <c r="D86" s="99"/>
      <c r="E86" s="199"/>
      <c r="F86" s="296"/>
      <c r="G86" s="299"/>
      <c r="H86" s="299"/>
      <c r="I86" s="295"/>
      <c r="J86" s="295"/>
    </row>
    <row r="87" spans="1:12" ht="37.950000000000003" customHeight="1" thickBot="1">
      <c r="A87" s="354" t="e">
        <f ca="1">_xlfn.CONCAT("Total Cost All ",'Calorie Planning Factors'!B4," Men &amp; Women + Canned Meat")</f>
        <v>#NAME?</v>
      </c>
      <c r="B87" s="358">
        <f>I21+I37+I46+J52+J63+I71+J77+I28+J84</f>
        <v>0</v>
      </c>
      <c r="C87" s="316"/>
      <c r="D87" s="374"/>
      <c r="E87" s="375"/>
      <c r="F87" s="376"/>
      <c r="G87" s="299"/>
      <c r="H87" s="299"/>
      <c r="I87" s="295"/>
      <c r="J87" s="295"/>
      <c r="K87" s="19"/>
    </row>
    <row r="88" spans="1:12" s="101" customFormat="1">
      <c r="A88" s="298"/>
      <c r="B88" s="296"/>
      <c r="C88" s="316"/>
      <c r="D88" s="99"/>
      <c r="E88" s="199"/>
      <c r="F88" s="296"/>
      <c r="G88" s="299"/>
      <c r="H88" s="99"/>
    </row>
    <row r="89" spans="1:12" s="101" customFormat="1" ht="18">
      <c r="A89" s="149" t="s">
        <v>359</v>
      </c>
      <c r="B89" s="152"/>
      <c r="C89" s="152"/>
      <c r="D89" s="152"/>
      <c r="E89" s="152"/>
      <c r="F89" s="152"/>
      <c r="G89" s="152"/>
      <c r="H89" s="152"/>
      <c r="I89" s="152"/>
      <c r="J89" s="152"/>
      <c r="K89" s="152"/>
      <c r="L89" s="152"/>
    </row>
    <row r="90" spans="1:12" s="101" customFormat="1" ht="18">
      <c r="A90" s="152"/>
      <c r="B90" s="152"/>
      <c r="C90" s="152"/>
      <c r="D90" s="152"/>
      <c r="E90" s="152"/>
      <c r="F90" s="152"/>
      <c r="G90" s="419" t="s">
        <v>242</v>
      </c>
      <c r="H90" s="419"/>
      <c r="I90" s="419"/>
      <c r="J90" s="419"/>
      <c r="K90" s="419"/>
      <c r="L90" s="419"/>
    </row>
    <row r="91" spans="1:12" s="101" customFormat="1" ht="40.950000000000003" customHeight="1">
      <c r="A91" s="152"/>
      <c r="B91" s="152"/>
      <c r="C91" s="152"/>
      <c r="D91" s="152"/>
      <c r="E91" s="152"/>
      <c r="F91" s="152"/>
      <c r="G91" s="420" t="s">
        <v>100</v>
      </c>
      <c r="H91" s="420"/>
      <c r="I91" s="429" t="s">
        <v>360</v>
      </c>
      <c r="J91" s="429"/>
      <c r="K91" s="458" t="s">
        <v>370</v>
      </c>
      <c r="L91" s="458"/>
    </row>
    <row r="92" spans="1:12" s="101" customFormat="1" ht="46.8">
      <c r="A92" s="152"/>
      <c r="B92" s="152"/>
      <c r="C92" s="152"/>
      <c r="D92" s="152"/>
      <c r="E92" s="175" t="s">
        <v>241</v>
      </c>
      <c r="F92" s="175" t="s">
        <v>91</v>
      </c>
      <c r="G92" s="175" t="s">
        <v>98</v>
      </c>
      <c r="H92" s="154" t="s">
        <v>99</v>
      </c>
      <c r="I92" s="175" t="s">
        <v>553</v>
      </c>
      <c r="J92" s="175" t="s">
        <v>554</v>
      </c>
      <c r="K92" s="175" t="s">
        <v>555</v>
      </c>
      <c r="L92" s="175" t="s">
        <v>556</v>
      </c>
    </row>
    <row r="93" spans="1:12" s="101" customFormat="1" ht="19.95" customHeight="1">
      <c r="A93" s="192" t="s">
        <v>486</v>
      </c>
      <c r="B93" s="192"/>
      <c r="C93" s="192"/>
      <c r="D93" s="192"/>
      <c r="E93" s="181">
        <f>Inputs!C24</f>
        <v>0</v>
      </c>
      <c r="F93" s="166">
        <f>'Calorie Planning Factors'!$F39</f>
        <v>0</v>
      </c>
      <c r="G93" s="162">
        <f>'Calorie Planning Factors'!$G39</f>
        <v>0</v>
      </c>
      <c r="H93" s="162">
        <f>'Calorie Planning Factors'!$H39</f>
        <v>0</v>
      </c>
      <c r="I93" s="182" t="e">
        <f>(B86*0.663)/'Calorie Planning Factors'!B7</f>
        <v>#DIV/0!</v>
      </c>
      <c r="J93" s="182" t="e">
        <f>(B86*0.337)/'Calorie Planning Factors'!B8</f>
        <v>#DIV/0!</v>
      </c>
      <c r="K93" s="183" t="e">
        <f>I93/($F$93*'Calorie Planning Factors'!$B$13)</f>
        <v>#DIV/0!</v>
      </c>
      <c r="L93" s="183" t="e">
        <f>J93/($F$93*'Calorie Planning Factors'!$B$13)</f>
        <v>#DIV/0!</v>
      </c>
    </row>
    <row r="94" spans="1:12" s="101" customFormat="1" ht="34.049999999999997" customHeight="1">
      <c r="A94" s="152"/>
      <c r="B94" s="152"/>
      <c r="C94" s="152"/>
      <c r="D94" s="152"/>
      <c r="E94" s="176"/>
      <c r="F94" s="177"/>
      <c r="G94" s="160"/>
      <c r="H94" s="160"/>
      <c r="I94" s="359" t="s">
        <v>557</v>
      </c>
      <c r="J94" s="359" t="s">
        <v>558</v>
      </c>
      <c r="K94" s="359" t="s">
        <v>557</v>
      </c>
      <c r="L94" s="359" t="s">
        <v>558</v>
      </c>
    </row>
    <row r="95" spans="1:12" s="101" customFormat="1" ht="19.95" customHeight="1">
      <c r="A95" s="478"/>
      <c r="B95" s="479"/>
      <c r="C95" s="479"/>
      <c r="D95" s="480"/>
      <c r="E95" s="152"/>
      <c r="F95" s="152"/>
      <c r="G95" s="152"/>
      <c r="H95" s="152"/>
      <c r="I95" s="338" t="e">
        <f>(B87*0.663)/'Calorie Planning Factors'!B7</f>
        <v>#DIV/0!</v>
      </c>
      <c r="J95" s="182" t="e">
        <f>(B87*0.337)/'Calorie Planning Factors'!B8</f>
        <v>#DIV/0!</v>
      </c>
      <c r="K95" s="361" t="e">
        <f>I95/($F$93*'Calorie Planning Factors'!$B$13)</f>
        <v>#DIV/0!</v>
      </c>
      <c r="L95" s="183" t="e">
        <f>J95/($F$93*'Calorie Planning Factors'!$B$13)</f>
        <v>#DIV/0!</v>
      </c>
    </row>
    <row r="96" spans="1:12" s="101" customFormat="1" ht="19.95" customHeight="1">
      <c r="A96" s="200"/>
      <c r="B96" s="317"/>
      <c r="C96" s="317"/>
      <c r="D96" s="318"/>
      <c r="E96" s="152"/>
      <c r="F96" s="152"/>
      <c r="G96" s="152"/>
      <c r="H96" s="152"/>
      <c r="I96" s="339"/>
      <c r="J96" s="178"/>
      <c r="K96" s="362"/>
      <c r="L96" s="179"/>
    </row>
    <row r="97" spans="1:12" s="101" customFormat="1" ht="18">
      <c r="A97" s="152"/>
      <c r="B97" s="152"/>
      <c r="C97" s="152"/>
      <c r="D97" s="152"/>
      <c r="E97" s="152"/>
      <c r="F97" s="152"/>
      <c r="G97" s="419" t="str">
        <f>_xlfn.CONCAT("For ",'Calorie Planning Factors'!B51," Total Members")</f>
        <v>For  Total Members</v>
      </c>
      <c r="H97" s="419"/>
      <c r="I97" s="419"/>
      <c r="J97" s="419"/>
      <c r="K97" s="152"/>
      <c r="L97" s="152"/>
    </row>
    <row r="98" spans="1:12" s="101" customFormat="1" ht="16.05" customHeight="1">
      <c r="A98" s="152"/>
      <c r="B98" s="152"/>
      <c r="C98" s="152"/>
      <c r="D98" s="152"/>
      <c r="E98" s="152"/>
      <c r="F98" s="152"/>
      <c r="G98" s="445" t="s">
        <v>100</v>
      </c>
      <c r="H98" s="446"/>
      <c r="I98" s="447"/>
      <c r="J98" s="427" t="s">
        <v>589</v>
      </c>
      <c r="K98" s="427"/>
      <c r="L98" s="428"/>
    </row>
    <row r="99" spans="1:12" s="101" customFormat="1" ht="51" customHeight="1">
      <c r="A99" s="152"/>
      <c r="B99" s="152"/>
      <c r="C99" s="152"/>
      <c r="D99" s="152"/>
      <c r="E99" s="175" t="s">
        <v>241</v>
      </c>
      <c r="F99" s="175" t="s">
        <v>91</v>
      </c>
      <c r="G99" s="154" t="e">
        <f ca="1">_xlfn.CONCAT("All ",'Calorie Planning Factors'!B7," Men")</f>
        <v>#NAME?</v>
      </c>
      <c r="H99" s="154" t="e">
        <f ca="1">_xlfn.CONCAT("All ",'Calorie Planning Factors'!B8," Women")</f>
        <v>#NAME?</v>
      </c>
      <c r="I99" s="237" t="e">
        <f ca="1">_xlfn.CONCAT("All ",'Calorie Planning Factors'!B4," Men &amp; Women")</f>
        <v>#NAME?</v>
      </c>
      <c r="J99" s="175" t="e">
        <f ca="1">_xlfn.CONCAT("All ",'Calorie Planning Factors'!B7," Men (NO Canned Meat)")</f>
        <v>#NAME?</v>
      </c>
      <c r="K99" s="175" t="e">
        <f ca="1">_xlfn.CONCAT("All ",'Calorie Planning Factors'!B8," Women (NO Canned Meat)")</f>
        <v>#NAME?</v>
      </c>
      <c r="L99" s="175" t="e">
        <f ca="1">_xlfn.CONCAT("All ",'Calorie Planning Factors'!B4," Men &amp; Women (NO Canned Meat)")</f>
        <v>#NAME?</v>
      </c>
    </row>
    <row r="100" spans="1:12" s="101" customFormat="1" ht="24" customHeight="1">
      <c r="A100" s="192" t="s">
        <v>362</v>
      </c>
      <c r="B100" s="192"/>
      <c r="C100" s="192"/>
      <c r="D100" s="192"/>
      <c r="E100" s="181">
        <f>Inputs!C24</f>
        <v>0</v>
      </c>
      <c r="F100" s="166">
        <f>'Calorie Planning Factors'!$F39</f>
        <v>0</v>
      </c>
      <c r="G100" s="161">
        <f>'Calorie Planning Factors'!$N39</f>
        <v>0</v>
      </c>
      <c r="H100" s="161">
        <f>'Calorie Planning Factors'!$Q39</f>
        <v>0</v>
      </c>
      <c r="I100" s="161">
        <f>G100+H100</f>
        <v>0</v>
      </c>
      <c r="J100" s="342" t="e">
        <f>I93*'Calorie Planning Factors'!B7</f>
        <v>#DIV/0!</v>
      </c>
      <c r="K100" s="182" t="e">
        <f>J93*'Calorie Planning Factors'!B8</f>
        <v>#DIV/0!</v>
      </c>
      <c r="L100" s="338" t="e">
        <f>J100+K100</f>
        <v>#DIV/0!</v>
      </c>
    </row>
    <row r="101" spans="1:12" s="101" customFormat="1" ht="54" customHeight="1">
      <c r="A101" s="152"/>
      <c r="B101" s="152"/>
      <c r="C101" s="152"/>
      <c r="D101" s="152"/>
      <c r="E101" s="176"/>
      <c r="F101" s="177"/>
      <c r="G101" s="159"/>
      <c r="H101" s="159"/>
      <c r="I101" s="237"/>
      <c r="J101" s="175" t="e">
        <f ca="1">_xlfn.CONCAT("All ",'Calorie Planning Factors'!B7," Men (+ Canned Meat)")</f>
        <v>#NAME?</v>
      </c>
      <c r="K101" s="175" t="e">
        <f ca="1">_xlfn.CONCAT("All ",'Calorie Planning Factors'!B8," Women (+ Canned Meat)")</f>
        <v>#NAME?</v>
      </c>
      <c r="L101" s="175" t="e">
        <f ca="1">_xlfn.CONCAT("All ",'Calorie Planning Factors'!B4," Men &amp; Women (+  Canned Meat)")</f>
        <v>#NAME?</v>
      </c>
    </row>
    <row r="102" spans="1:12" s="101" customFormat="1" ht="22.95" customHeight="1">
      <c r="A102" s="227"/>
      <c r="B102" s="227"/>
      <c r="C102" s="227"/>
      <c r="D102" s="227"/>
      <c r="E102" s="227"/>
      <c r="F102" s="233"/>
      <c r="G102" s="157"/>
      <c r="H102" s="188"/>
      <c r="I102" s="152"/>
      <c r="J102" s="182" t="e">
        <f>I95*'Calorie Planning Factors'!B7</f>
        <v>#DIV/0!</v>
      </c>
      <c r="K102" s="182" t="e">
        <f>J95*'Calorie Planning Factors'!B8</f>
        <v>#DIV/0!</v>
      </c>
      <c r="L102" s="182" t="e">
        <f>J102+K102</f>
        <v>#DIV/0!</v>
      </c>
    </row>
    <row r="103" spans="1:12" s="101" customFormat="1" ht="18">
      <c r="A103" s="468" t="s">
        <v>590</v>
      </c>
      <c r="B103" s="469"/>
      <c r="C103" s="469"/>
      <c r="D103" s="469"/>
      <c r="E103" s="199"/>
      <c r="F103" s="296"/>
      <c r="G103" s="299"/>
      <c r="H103" s="99"/>
    </row>
    <row r="104" spans="1:12" s="101" customFormat="1">
      <c r="A104" s="298"/>
      <c r="B104" s="296"/>
      <c r="C104" s="316"/>
      <c r="D104" s="99"/>
      <c r="E104" s="199"/>
      <c r="F104" s="296"/>
      <c r="G104" s="299"/>
      <c r="H104" s="99"/>
      <c r="I104" s="170"/>
      <c r="J104" s="353"/>
      <c r="K104" s="343"/>
    </row>
    <row r="105" spans="1:12">
      <c r="A105" s="27"/>
      <c r="B105" s="23"/>
      <c r="F105" s="23"/>
      <c r="G105" s="17"/>
      <c r="K105" s="313"/>
      <c r="L105" s="313"/>
    </row>
    <row r="106" spans="1:12">
      <c r="A106" s="227" t="s">
        <v>413</v>
      </c>
      <c r="B106" s="154"/>
      <c r="C106" s="152"/>
      <c r="D106" s="199"/>
      <c r="E106" s="199"/>
      <c r="F106" s="23"/>
      <c r="G106" s="17"/>
      <c r="I106" s="313"/>
      <c r="J106" s="313"/>
    </row>
    <row r="107" spans="1:12" ht="67.05" customHeight="1">
      <c r="A107" s="152"/>
      <c r="B107" s="238" t="s">
        <v>400</v>
      </c>
      <c r="C107" s="238" t="s">
        <v>499</v>
      </c>
      <c r="D107" s="199"/>
      <c r="E107" s="199"/>
      <c r="F107" s="23"/>
      <c r="G107" s="17"/>
      <c r="I107" s="37"/>
      <c r="J107" s="313"/>
      <c r="K107" s="313"/>
      <c r="L107" s="313"/>
    </row>
    <row r="108" spans="1:12" ht="18">
      <c r="A108" s="225" t="s">
        <v>398</v>
      </c>
      <c r="B108" s="244">
        <f>H21+H37+H46+H52+H63+H71+H77</f>
        <v>0</v>
      </c>
      <c r="C108" s="243">
        <f>B108/'Food-related Resourses'!G108</f>
        <v>0</v>
      </c>
      <c r="D108" s="297"/>
      <c r="E108" s="199"/>
      <c r="F108" s="23"/>
      <c r="G108" s="17"/>
      <c r="K108" s="313"/>
      <c r="L108" s="313"/>
    </row>
    <row r="109" spans="1:12" ht="18">
      <c r="A109" s="225" t="s">
        <v>403</v>
      </c>
      <c r="B109" s="244">
        <f>I52+I63+I77</f>
        <v>0</v>
      </c>
      <c r="C109" s="243">
        <f>B109/'Food-related Resourses'!G109</f>
        <v>0</v>
      </c>
      <c r="D109" s="199"/>
      <c r="E109" s="199"/>
      <c r="F109" s="23"/>
      <c r="G109" s="17"/>
      <c r="K109" s="313"/>
    </row>
    <row r="110" spans="1:12" ht="18">
      <c r="A110" s="225" t="s">
        <v>399</v>
      </c>
      <c r="B110" s="244">
        <f>G31+G33+G34+G70</f>
        <v>0</v>
      </c>
      <c r="C110" s="243">
        <f>B110/'Food-related Resourses'!G110</f>
        <v>0</v>
      </c>
      <c r="D110" s="199"/>
      <c r="E110" s="199"/>
      <c r="F110" s="23"/>
      <c r="G110" s="17"/>
    </row>
    <row r="111" spans="1:12" ht="18">
      <c r="A111" s="225" t="s">
        <v>560</v>
      </c>
      <c r="B111" s="244">
        <f>H28</f>
        <v>0</v>
      </c>
      <c r="C111" s="243">
        <v>16</v>
      </c>
      <c r="D111" s="199"/>
      <c r="E111" s="199"/>
      <c r="F111" s="23"/>
      <c r="G111" s="17"/>
    </row>
    <row r="112" spans="1:12" ht="18">
      <c r="A112" s="225" t="s">
        <v>414</v>
      </c>
      <c r="B112" s="245"/>
      <c r="C112" s="243">
        <v>300</v>
      </c>
      <c r="D112" s="199"/>
      <c r="E112" s="199"/>
      <c r="F112" s="23"/>
      <c r="G112" s="17"/>
    </row>
    <row r="113" spans="1:7" ht="18">
      <c r="A113" s="239" t="s">
        <v>422</v>
      </c>
      <c r="B113" s="245"/>
      <c r="C113" s="243">
        <f>SUM(C108:C112)</f>
        <v>316</v>
      </c>
      <c r="D113" s="199"/>
      <c r="E113" s="199"/>
      <c r="F113" s="23"/>
      <c r="G113" s="17"/>
    </row>
    <row r="114" spans="1:7" ht="18">
      <c r="A114" s="225" t="s">
        <v>415</v>
      </c>
      <c r="B114" s="154"/>
      <c r="C114" s="152"/>
      <c r="D114" s="152"/>
      <c r="E114" s="152"/>
      <c r="F114" s="23"/>
      <c r="G114" s="17"/>
    </row>
    <row r="115" spans="1:7" ht="18">
      <c r="A115" s="475" t="s">
        <v>402</v>
      </c>
      <c r="B115" s="476"/>
      <c r="C115" s="476"/>
      <c r="D115" s="476"/>
      <c r="E115" s="477"/>
      <c r="F115" s="23"/>
      <c r="G115" s="17"/>
    </row>
    <row r="116" spans="1:7" ht="18">
      <c r="A116" s="225" t="s">
        <v>404</v>
      </c>
      <c r="B116" s="154"/>
      <c r="C116" s="152"/>
      <c r="D116" s="152"/>
      <c r="E116" s="152"/>
      <c r="F116" s="23"/>
      <c r="G116" s="17"/>
    </row>
    <row r="117" spans="1:7" ht="18">
      <c r="A117" s="475" t="s">
        <v>423</v>
      </c>
      <c r="B117" s="476"/>
      <c r="C117" s="476"/>
      <c r="D117" s="476"/>
      <c r="E117" s="477"/>
      <c r="F117" s="23"/>
      <c r="G117" s="17"/>
    </row>
    <row r="118" spans="1:7">
      <c r="A118" s="27"/>
      <c r="B118" s="23"/>
      <c r="F118" s="23"/>
      <c r="G118" s="17"/>
    </row>
    <row r="119" spans="1:7" ht="18">
      <c r="A119" t="s">
        <v>335</v>
      </c>
    </row>
    <row r="120" spans="1:7" ht="18">
      <c r="A120" t="s">
        <v>336</v>
      </c>
    </row>
    <row r="121" spans="1:7" ht="18">
      <c r="A121" t="s">
        <v>113</v>
      </c>
    </row>
    <row r="122" spans="1:7" ht="67.05" customHeight="1">
      <c r="A122" s="470" t="s">
        <v>114</v>
      </c>
      <c r="B122" s="470"/>
      <c r="C122" s="470"/>
      <c r="D122" s="470"/>
      <c r="E122" s="470"/>
      <c r="F122" s="470"/>
    </row>
    <row r="123" spans="1:7" ht="18">
      <c r="A123" t="s">
        <v>115</v>
      </c>
    </row>
    <row r="124" spans="1:7" ht="18">
      <c r="A124" t="s">
        <v>124</v>
      </c>
    </row>
    <row r="125" spans="1:7" ht="18">
      <c r="A125" t="s">
        <v>136</v>
      </c>
    </row>
    <row r="126" spans="1:7" ht="82.05" customHeight="1">
      <c r="A126" s="470" t="s">
        <v>152</v>
      </c>
      <c r="B126" s="470"/>
      <c r="C126" s="470"/>
      <c r="D126" s="470"/>
      <c r="E126" s="470"/>
      <c r="F126" s="470"/>
      <c r="G126" s="470"/>
    </row>
  </sheetData>
  <sheetProtection algorithmName="SHA-512" hashValue="JfmiutxwuID+NXNLnqS1dIFYgc0xMeG8UkWXOwXVZznp1+607s8EgfiTO4n0AalALI4ir3/Nb9SI3eGjTp3PcQ==" saltValue="HdvVWTjWgZfwF/kOBGzh4A==" spinCount="100000" sheet="1" objects="1" scenarios="1" selectLockedCells="1" selectUnlockedCells="1"/>
  <mergeCells count="21">
    <mergeCell ref="A122:F122"/>
    <mergeCell ref="A126:G126"/>
    <mergeCell ref="A1:G1"/>
    <mergeCell ref="A3:G3"/>
    <mergeCell ref="A115:E115"/>
    <mergeCell ref="A117:E117"/>
    <mergeCell ref="G90:L90"/>
    <mergeCell ref="G91:H91"/>
    <mergeCell ref="I91:J91"/>
    <mergeCell ref="K91:L91"/>
    <mergeCell ref="A95:D95"/>
    <mergeCell ref="G97:J97"/>
    <mergeCell ref="J98:L98"/>
    <mergeCell ref="G98:I98"/>
    <mergeCell ref="A5:G5"/>
    <mergeCell ref="A6:G6"/>
    <mergeCell ref="A8:D8"/>
    <mergeCell ref="A7:G7"/>
    <mergeCell ref="B11:C11"/>
    <mergeCell ref="G11:H11"/>
    <mergeCell ref="A103:D10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M98"/>
  <sheetViews>
    <sheetView zoomScaleNormal="100" workbookViewId="0">
      <selection activeCell="A78" sqref="A78:XFD78"/>
    </sheetView>
  </sheetViews>
  <sheetFormatPr defaultColWidth="11.19921875" defaultRowHeight="15.6"/>
  <cols>
    <col min="1" max="1" width="40.69921875" customWidth="1"/>
    <col min="2" max="2" width="14" bestFit="1" customWidth="1"/>
    <col min="3" max="3" width="11.69921875" bestFit="1" customWidth="1"/>
    <col min="4" max="4" width="11.796875" customWidth="1"/>
    <col min="5" max="5" width="14.5" customWidth="1"/>
    <col min="6" max="6" width="11.69921875" bestFit="1" customWidth="1"/>
    <col min="7" max="7" width="14.19921875" customWidth="1"/>
    <col min="8" max="9" width="13" bestFit="1" customWidth="1"/>
    <col min="10" max="10" width="17.796875" customWidth="1"/>
    <col min="11" max="11" width="18.19921875" customWidth="1"/>
    <col min="12" max="12" width="12" bestFit="1" customWidth="1"/>
  </cols>
  <sheetData>
    <row r="1" spans="1:13" ht="34.950000000000003" customHeight="1">
      <c r="A1" s="485" t="s">
        <v>424</v>
      </c>
      <c r="B1" s="486"/>
      <c r="C1" s="486"/>
      <c r="D1" s="486"/>
      <c r="E1" s="486"/>
      <c r="F1" s="486"/>
      <c r="G1" s="487"/>
      <c r="H1" s="43"/>
      <c r="I1" s="43"/>
      <c r="J1" s="43"/>
      <c r="K1" s="43"/>
      <c r="L1" s="43"/>
      <c r="M1" s="43"/>
    </row>
    <row r="2" spans="1:13" ht="25.95" customHeight="1">
      <c r="A2" s="264"/>
      <c r="B2" s="265"/>
      <c r="C2" s="265"/>
      <c r="D2" s="265"/>
      <c r="E2" s="265"/>
      <c r="F2" s="265"/>
      <c r="G2" s="266"/>
      <c r="H2" s="43"/>
      <c r="I2" s="43"/>
      <c r="J2" s="43"/>
      <c r="K2" s="43"/>
      <c r="L2" s="43"/>
      <c r="M2" s="43"/>
    </row>
    <row r="3" spans="1:13" ht="31.95" customHeight="1">
      <c r="A3" s="473" t="s">
        <v>425</v>
      </c>
      <c r="B3" s="474"/>
      <c r="C3" s="474"/>
      <c r="D3" s="474"/>
      <c r="E3" s="474"/>
      <c r="F3" s="474"/>
      <c r="G3" s="484"/>
      <c r="H3" s="43"/>
      <c r="I3" s="43"/>
      <c r="J3" s="43"/>
      <c r="K3" s="43"/>
      <c r="L3" s="43"/>
      <c r="M3" s="43"/>
    </row>
    <row r="4" spans="1:13" ht="16.05" customHeight="1">
      <c r="A4" s="264"/>
      <c r="B4" s="265"/>
      <c r="C4" s="265"/>
      <c r="D4" s="265"/>
      <c r="E4" s="265"/>
      <c r="F4" s="265"/>
      <c r="G4" s="266"/>
      <c r="H4" s="43"/>
      <c r="I4" s="43"/>
      <c r="J4" s="43"/>
      <c r="K4" s="43"/>
      <c r="L4" s="43"/>
      <c r="M4" s="43"/>
    </row>
    <row r="5" spans="1:13" ht="67.95" customHeight="1">
      <c r="A5" s="434" t="s">
        <v>488</v>
      </c>
      <c r="B5" s="488"/>
      <c r="C5" s="488"/>
      <c r="D5" s="488"/>
      <c r="E5" s="488"/>
      <c r="F5" s="488"/>
      <c r="G5" s="489"/>
      <c r="H5" s="43"/>
      <c r="I5" s="43"/>
      <c r="J5" s="43"/>
      <c r="K5" s="43"/>
      <c r="L5" s="43"/>
      <c r="M5" s="43"/>
    </row>
    <row r="6" spans="1:13" ht="64.05" customHeight="1">
      <c r="A6" s="490" t="s">
        <v>426</v>
      </c>
      <c r="B6" s="491"/>
      <c r="C6" s="491"/>
      <c r="D6" s="491"/>
      <c r="E6" s="491"/>
      <c r="F6" s="491"/>
      <c r="G6" s="492"/>
      <c r="H6" s="43"/>
      <c r="I6" s="43"/>
      <c r="J6" s="43"/>
      <c r="K6" s="43"/>
      <c r="L6" s="43"/>
      <c r="M6" s="43"/>
    </row>
    <row r="7" spans="1:13" ht="25.05" customHeight="1">
      <c r="A7" s="493" t="s">
        <v>474</v>
      </c>
      <c r="B7" s="488"/>
      <c r="C7" s="488"/>
      <c r="D7" s="488"/>
      <c r="E7" s="488"/>
      <c r="F7" s="488"/>
      <c r="G7" s="489"/>
      <c r="H7" s="43"/>
      <c r="I7" s="43"/>
      <c r="J7" s="43"/>
      <c r="K7" s="43"/>
      <c r="L7" s="43"/>
      <c r="M7" s="43"/>
    </row>
    <row r="8" spans="1:13" ht="25.05" customHeight="1" thickBot="1">
      <c r="A8" s="267" t="s">
        <v>427</v>
      </c>
      <c r="B8" s="268"/>
      <c r="C8" s="268"/>
      <c r="D8" s="268"/>
      <c r="E8" s="268"/>
      <c r="F8" s="268"/>
      <c r="G8" s="269"/>
      <c r="H8" s="43"/>
      <c r="I8" s="43"/>
      <c r="J8" s="43"/>
      <c r="K8" s="43"/>
      <c r="L8" s="43"/>
      <c r="M8" s="43"/>
    </row>
    <row r="9" spans="1:13" ht="25.05" customHeight="1">
      <c r="A9" s="270"/>
      <c r="B9" s="271"/>
      <c r="C9" s="271"/>
      <c r="D9" s="271"/>
      <c r="E9" s="271"/>
      <c r="F9" s="271"/>
      <c r="G9" s="271"/>
      <c r="H9" s="43"/>
      <c r="I9" s="43"/>
      <c r="J9" s="43"/>
      <c r="K9" s="43"/>
      <c r="L9" s="43"/>
      <c r="M9" s="43"/>
    </row>
    <row r="11" spans="1:13" ht="72.599999999999994">
      <c r="A11" s="278" t="s">
        <v>0</v>
      </c>
      <c r="B11" s="272" t="s">
        <v>349</v>
      </c>
      <c r="C11" s="272" t="s">
        <v>167</v>
      </c>
      <c r="D11" s="272" t="s">
        <v>168</v>
      </c>
      <c r="E11" s="272" t="s">
        <v>173</v>
      </c>
      <c r="F11" s="272" t="s">
        <v>175</v>
      </c>
      <c r="G11" s="272" t="s">
        <v>174</v>
      </c>
      <c r="H11" s="272" t="s">
        <v>172</v>
      </c>
      <c r="I11" s="272" t="s">
        <v>171</v>
      </c>
      <c r="J11" s="272" t="s">
        <v>521</v>
      </c>
      <c r="K11" s="152"/>
    </row>
    <row r="12" spans="1:13" ht="18">
      <c r="A12" s="152" t="s">
        <v>317</v>
      </c>
      <c r="B12" s="192">
        <f>Inputs!C32</f>
        <v>0</v>
      </c>
      <c r="C12" s="241">
        <f>0.6*B12</f>
        <v>0</v>
      </c>
      <c r="D12" s="241">
        <v>1137</v>
      </c>
      <c r="E12" s="153">
        <f>C12*D12</f>
        <v>0</v>
      </c>
      <c r="F12" s="240">
        <f>G12/12</f>
        <v>0</v>
      </c>
      <c r="G12" s="192">
        <f>Inputs!$D32</f>
        <v>0</v>
      </c>
      <c r="H12" s="276">
        <f>E12*F12</f>
        <v>0</v>
      </c>
      <c r="I12" s="276">
        <f>E12*G12</f>
        <v>0</v>
      </c>
      <c r="J12" s="165">
        <f>(((600*0.02*67)+(700*0.02*67)+(800*0.02*67)+(900*0.02*67))/1200)*G12</f>
        <v>0</v>
      </c>
      <c r="K12" s="152"/>
      <c r="L12" s="323"/>
    </row>
    <row r="13" spans="1:13">
      <c r="A13" s="152" t="s">
        <v>4</v>
      </c>
      <c r="B13" s="192">
        <f>Inputs!C33</f>
        <v>0</v>
      </c>
      <c r="C13" s="241">
        <f>0.6*B13</f>
        <v>0</v>
      </c>
      <c r="D13" s="241">
        <v>1357</v>
      </c>
      <c r="E13" s="153">
        <f t="shared" ref="E13:E23" si="0">C13*D13</f>
        <v>0</v>
      </c>
      <c r="F13" s="240">
        <f t="shared" ref="F13:F28" si="1">G13/12</f>
        <v>0</v>
      </c>
      <c r="G13" s="192">
        <f>Inputs!$D33</f>
        <v>0</v>
      </c>
      <c r="H13" s="276">
        <f t="shared" ref="H13:H27" si="2">E13*F13</f>
        <v>0</v>
      </c>
      <c r="I13" s="276">
        <f t="shared" ref="I13:I28" si="3">E13*G13</f>
        <v>0</v>
      </c>
      <c r="J13" s="152"/>
      <c r="K13" s="152"/>
    </row>
    <row r="14" spans="1:13" ht="18">
      <c r="A14" s="152" t="s">
        <v>311</v>
      </c>
      <c r="B14" s="152">
        <v>60</v>
      </c>
      <c r="C14" s="241">
        <f>0.38*B14</f>
        <v>22.8</v>
      </c>
      <c r="D14" s="241">
        <v>778</v>
      </c>
      <c r="E14" s="153">
        <f t="shared" si="0"/>
        <v>17738.400000000001</v>
      </c>
      <c r="F14" s="240">
        <f t="shared" si="1"/>
        <v>0</v>
      </c>
      <c r="G14" s="192">
        <f>Inputs!$D34</f>
        <v>0</v>
      </c>
      <c r="H14" s="276">
        <f t="shared" si="2"/>
        <v>0</v>
      </c>
      <c r="I14" s="276">
        <f t="shared" si="3"/>
        <v>0</v>
      </c>
      <c r="J14" s="152"/>
      <c r="K14" s="152"/>
    </row>
    <row r="15" spans="1:13">
      <c r="A15" s="152" t="s">
        <v>309</v>
      </c>
      <c r="B15" s="152">
        <v>40</v>
      </c>
      <c r="C15" s="241">
        <f>B15*0.38</f>
        <v>15.2</v>
      </c>
      <c r="D15" s="241">
        <v>778</v>
      </c>
      <c r="E15" s="153">
        <f t="shared" si="0"/>
        <v>11825.599999999999</v>
      </c>
      <c r="F15" s="240">
        <f t="shared" si="1"/>
        <v>1.6666666666666667</v>
      </c>
      <c r="G15" s="192">
        <f>Inputs!$D35</f>
        <v>20</v>
      </c>
      <c r="H15" s="276">
        <f>E15*F15</f>
        <v>19709.333333333332</v>
      </c>
      <c r="I15" s="276">
        <f>E15*G15</f>
        <v>236511.99999999997</v>
      </c>
      <c r="J15" s="300">
        <f>((G15*4)*('Calorie Planning Factors'!B13*4))/1200</f>
        <v>8.1111199999999997</v>
      </c>
      <c r="K15" s="152"/>
    </row>
    <row r="16" spans="1:13">
      <c r="A16" s="152" t="s">
        <v>8</v>
      </c>
      <c r="B16" s="152">
        <v>135</v>
      </c>
      <c r="C16" s="241">
        <f t="shared" ref="C16" si="4">0.6*B16</f>
        <v>81</v>
      </c>
      <c r="D16" s="241">
        <v>1120</v>
      </c>
      <c r="E16" s="153">
        <f t="shared" si="0"/>
        <v>90720</v>
      </c>
      <c r="F16" s="240">
        <f t="shared" si="1"/>
        <v>0</v>
      </c>
      <c r="G16" s="192">
        <f>Inputs!$D36</f>
        <v>0</v>
      </c>
      <c r="H16" s="276">
        <f t="shared" si="2"/>
        <v>0</v>
      </c>
      <c r="I16" s="276">
        <f t="shared" si="3"/>
        <v>0</v>
      </c>
      <c r="J16" s="152"/>
      <c r="K16" s="152"/>
    </row>
    <row r="17" spans="1:12">
      <c r="A17" s="152" t="s">
        <v>302</v>
      </c>
      <c r="B17" s="152"/>
      <c r="C17" s="273"/>
      <c r="D17" s="241">
        <v>583</v>
      </c>
      <c r="E17" s="153">
        <f>D17</f>
        <v>583</v>
      </c>
      <c r="F17" s="240">
        <f t="shared" si="1"/>
        <v>0</v>
      </c>
      <c r="G17" s="192">
        <f>Inputs!$D37</f>
        <v>0</v>
      </c>
      <c r="H17" s="276">
        <f>E17*F17</f>
        <v>0</v>
      </c>
      <c r="I17" s="276">
        <f t="shared" si="3"/>
        <v>0</v>
      </c>
      <c r="J17" s="152"/>
      <c r="K17" s="152"/>
    </row>
    <row r="18" spans="1:12" ht="18">
      <c r="A18" s="152" t="s">
        <v>313</v>
      </c>
      <c r="B18" s="152">
        <v>5</v>
      </c>
      <c r="C18" s="274">
        <v>3</v>
      </c>
      <c r="D18" s="241">
        <v>784</v>
      </c>
      <c r="E18" s="153">
        <f>C18*D18</f>
        <v>2352</v>
      </c>
      <c r="F18" s="240">
        <f t="shared" si="1"/>
        <v>0</v>
      </c>
      <c r="G18" s="192">
        <f>Inputs!$D38</f>
        <v>0</v>
      </c>
      <c r="H18" s="276">
        <f>E18*F18</f>
        <v>0</v>
      </c>
      <c r="I18" s="276">
        <f t="shared" si="3"/>
        <v>0</v>
      </c>
      <c r="J18" s="152"/>
      <c r="K18" s="152"/>
    </row>
    <row r="19" spans="1:12">
      <c r="A19" s="152" t="s">
        <v>56</v>
      </c>
      <c r="B19" s="152"/>
      <c r="C19" s="273"/>
      <c r="D19" s="241">
        <v>250</v>
      </c>
      <c r="E19" s="153">
        <f>D17</f>
        <v>583</v>
      </c>
      <c r="F19" s="240">
        <f t="shared" si="1"/>
        <v>0</v>
      </c>
      <c r="G19" s="192">
        <f>Inputs!$D39</f>
        <v>0</v>
      </c>
      <c r="H19" s="276">
        <f t="shared" si="2"/>
        <v>0</v>
      </c>
      <c r="I19" s="276">
        <f t="shared" si="3"/>
        <v>0</v>
      </c>
      <c r="J19" s="152"/>
      <c r="K19" s="152"/>
    </row>
    <row r="20" spans="1:12">
      <c r="A20" s="152" t="s">
        <v>29</v>
      </c>
      <c r="B20" s="152">
        <v>450</v>
      </c>
      <c r="C20" s="241">
        <f>0.55*B20</f>
        <v>247.50000000000003</v>
      </c>
      <c r="D20" s="241">
        <v>730</v>
      </c>
      <c r="E20" s="153">
        <f t="shared" si="0"/>
        <v>180675.00000000003</v>
      </c>
      <c r="F20" s="240">
        <f t="shared" si="1"/>
        <v>0</v>
      </c>
      <c r="G20" s="192">
        <f>Inputs!$D40</f>
        <v>0</v>
      </c>
      <c r="H20" s="276">
        <f t="shared" si="2"/>
        <v>0</v>
      </c>
      <c r="I20" s="276">
        <f t="shared" si="3"/>
        <v>0</v>
      </c>
      <c r="J20" s="152"/>
      <c r="K20" s="152"/>
    </row>
    <row r="21" spans="1:12">
      <c r="A21" s="152" t="s">
        <v>169</v>
      </c>
      <c r="B21" s="152">
        <v>150</v>
      </c>
      <c r="C21" s="241">
        <f>0.55*B21</f>
        <v>82.5</v>
      </c>
      <c r="D21" s="241">
        <v>730</v>
      </c>
      <c r="E21" s="153">
        <f t="shared" si="0"/>
        <v>60225</v>
      </c>
      <c r="F21" s="240">
        <f t="shared" si="1"/>
        <v>0</v>
      </c>
      <c r="G21" s="192">
        <f>Inputs!$D41</f>
        <v>0</v>
      </c>
      <c r="H21" s="276">
        <f t="shared" si="2"/>
        <v>0</v>
      </c>
      <c r="I21" s="276">
        <f t="shared" si="3"/>
        <v>0</v>
      </c>
      <c r="J21" s="152"/>
      <c r="K21" s="152"/>
    </row>
    <row r="22" spans="1:12">
      <c r="A22" s="152" t="s">
        <v>32</v>
      </c>
      <c r="B22" s="152">
        <v>160</v>
      </c>
      <c r="C22" s="241">
        <f>0.45*B22</f>
        <v>72</v>
      </c>
      <c r="D22" s="241">
        <v>544</v>
      </c>
      <c r="E22" s="153">
        <f t="shared" si="0"/>
        <v>39168</v>
      </c>
      <c r="F22" s="240">
        <f t="shared" si="1"/>
        <v>0</v>
      </c>
      <c r="G22" s="192">
        <f>Inputs!$D42</f>
        <v>0</v>
      </c>
      <c r="H22" s="276">
        <f t="shared" si="2"/>
        <v>0</v>
      </c>
      <c r="I22" s="276">
        <f t="shared" si="3"/>
        <v>0</v>
      </c>
      <c r="J22" s="152"/>
      <c r="K22" s="152"/>
    </row>
    <row r="23" spans="1:12">
      <c r="A23" s="152" t="s">
        <v>33</v>
      </c>
      <c r="B23" s="152">
        <v>145</v>
      </c>
      <c r="C23" s="241">
        <f>0.45*B23</f>
        <v>65.25</v>
      </c>
      <c r="D23" s="241">
        <v>544</v>
      </c>
      <c r="E23" s="153">
        <f t="shared" si="0"/>
        <v>35496</v>
      </c>
      <c r="F23" s="240">
        <f t="shared" si="1"/>
        <v>0</v>
      </c>
      <c r="G23" s="192">
        <f>Inputs!$D43</f>
        <v>0</v>
      </c>
      <c r="H23" s="276">
        <f>E23*F23</f>
        <v>0</v>
      </c>
      <c r="I23" s="276">
        <f t="shared" si="3"/>
        <v>0</v>
      </c>
      <c r="J23" s="152"/>
      <c r="K23" s="152"/>
    </row>
    <row r="24" spans="1:12">
      <c r="A24" s="152" t="s">
        <v>294</v>
      </c>
      <c r="B24" s="152"/>
      <c r="C24" s="273"/>
      <c r="D24" s="241">
        <v>2500</v>
      </c>
      <c r="E24" s="153">
        <f>D24</f>
        <v>2500</v>
      </c>
      <c r="F24" s="240">
        <f t="shared" si="1"/>
        <v>0</v>
      </c>
      <c r="G24" s="192">
        <f>Inputs!$D44</f>
        <v>0</v>
      </c>
      <c r="H24" s="276">
        <f t="shared" si="2"/>
        <v>0</v>
      </c>
      <c r="I24" s="276">
        <f t="shared" si="3"/>
        <v>0</v>
      </c>
      <c r="J24" s="152"/>
      <c r="K24" s="152"/>
    </row>
    <row r="25" spans="1:12">
      <c r="A25" s="152" t="s">
        <v>6</v>
      </c>
      <c r="B25" s="152"/>
      <c r="C25" s="273"/>
      <c r="D25" s="241">
        <v>1938</v>
      </c>
      <c r="E25" s="153">
        <f t="shared" ref="E25:E28" si="5">D25</f>
        <v>1938</v>
      </c>
      <c r="F25" s="240">
        <f t="shared" si="1"/>
        <v>0</v>
      </c>
      <c r="G25" s="192">
        <f>Inputs!$D45</f>
        <v>0</v>
      </c>
      <c r="H25" s="276">
        <f t="shared" si="2"/>
        <v>0</v>
      </c>
      <c r="I25" s="276">
        <f t="shared" si="3"/>
        <v>0</v>
      </c>
      <c r="J25" s="152"/>
      <c r="K25" s="152"/>
    </row>
    <row r="26" spans="1:12">
      <c r="A26" s="152" t="s">
        <v>30</v>
      </c>
      <c r="B26" s="152"/>
      <c r="C26" s="273"/>
      <c r="D26" s="241">
        <v>4380</v>
      </c>
      <c r="E26" s="153">
        <f t="shared" si="5"/>
        <v>4380</v>
      </c>
      <c r="F26" s="240">
        <f t="shared" si="1"/>
        <v>0</v>
      </c>
      <c r="G26" s="192">
        <f>Inputs!$D46</f>
        <v>0</v>
      </c>
      <c r="H26" s="276">
        <f>E26*F26</f>
        <v>0</v>
      </c>
      <c r="I26" s="276">
        <f t="shared" si="3"/>
        <v>0</v>
      </c>
      <c r="J26" s="152"/>
      <c r="K26" s="152"/>
    </row>
    <row r="27" spans="1:12">
      <c r="A27" s="152" t="s">
        <v>31</v>
      </c>
      <c r="B27" s="152"/>
      <c r="C27" s="273"/>
      <c r="D27" s="241">
        <v>3504</v>
      </c>
      <c r="E27" s="153">
        <f t="shared" si="5"/>
        <v>3504</v>
      </c>
      <c r="F27" s="240">
        <f t="shared" si="1"/>
        <v>0</v>
      </c>
      <c r="G27" s="192">
        <f>Inputs!$D47</f>
        <v>0</v>
      </c>
      <c r="H27" s="276">
        <f t="shared" si="2"/>
        <v>0</v>
      </c>
      <c r="I27" s="276">
        <f t="shared" si="3"/>
        <v>0</v>
      </c>
      <c r="J27" s="152"/>
      <c r="K27" s="152"/>
    </row>
    <row r="28" spans="1:12">
      <c r="A28" s="152" t="s">
        <v>170</v>
      </c>
      <c r="B28" s="152"/>
      <c r="C28" s="273"/>
      <c r="D28" s="241">
        <v>630</v>
      </c>
      <c r="E28" s="153">
        <f t="shared" si="5"/>
        <v>630</v>
      </c>
      <c r="F28" s="240">
        <f t="shared" si="1"/>
        <v>0</v>
      </c>
      <c r="G28" s="192">
        <f>Inputs!$D48</f>
        <v>0</v>
      </c>
      <c r="H28" s="276">
        <f>E28*F28</f>
        <v>0</v>
      </c>
      <c r="I28" s="276">
        <f t="shared" si="3"/>
        <v>0</v>
      </c>
      <c r="J28" s="152"/>
      <c r="K28" s="152"/>
    </row>
    <row r="29" spans="1:12">
      <c r="A29" s="152"/>
      <c r="B29" s="152"/>
      <c r="C29" s="152"/>
      <c r="D29" s="483" t="s">
        <v>256</v>
      </c>
      <c r="E29" s="483"/>
      <c r="F29" s="483"/>
      <c r="G29" s="483"/>
      <c r="H29" s="276">
        <f>SUM(H12:H28)</f>
        <v>19709.333333333332</v>
      </c>
      <c r="I29" s="276">
        <f>SUM(I12:I28)</f>
        <v>236511.99999999997</v>
      </c>
      <c r="J29" s="152"/>
      <c r="K29" s="152"/>
    </row>
    <row r="30" spans="1:12">
      <c r="A30" s="152"/>
      <c r="B30" s="152"/>
      <c r="C30" s="152"/>
      <c r="D30" s="152"/>
      <c r="E30" s="152"/>
      <c r="F30" s="152"/>
      <c r="G30" s="152"/>
      <c r="H30" s="229"/>
      <c r="I30" s="229"/>
      <c r="J30" s="152"/>
      <c r="K30" s="152"/>
    </row>
    <row r="31" spans="1:12" ht="18">
      <c r="A31" s="152" t="s">
        <v>314</v>
      </c>
      <c r="B31" s="233">
        <f>B12</f>
        <v>0</v>
      </c>
      <c r="C31" s="241">
        <f>(B12*0.2)/3</f>
        <v>0</v>
      </c>
      <c r="D31" s="275">
        <v>1860</v>
      </c>
      <c r="E31" s="155">
        <f>C31*D31</f>
        <v>0</v>
      </c>
      <c r="F31" s="240">
        <f>F12</f>
        <v>0</v>
      </c>
      <c r="G31" s="192">
        <f>G12</f>
        <v>0</v>
      </c>
      <c r="H31" s="276">
        <f>(E31*F31)+(((0.5*C12)*D12)*F31)</f>
        <v>0</v>
      </c>
      <c r="I31" s="276">
        <f>H31*12</f>
        <v>0</v>
      </c>
      <c r="J31" s="152"/>
      <c r="K31" s="152"/>
      <c r="L31" s="19"/>
    </row>
    <row r="32" spans="1:12" ht="18">
      <c r="A32" s="152" t="s">
        <v>315</v>
      </c>
      <c r="B32" s="233">
        <f>B12</f>
        <v>0</v>
      </c>
      <c r="C32" s="241">
        <f>((B12*0.4)/3)+((B12*0.4)/3)</f>
        <v>0</v>
      </c>
      <c r="D32" s="275">
        <v>3000</v>
      </c>
      <c r="E32" s="155">
        <f>C32*D32</f>
        <v>0</v>
      </c>
      <c r="F32" s="240">
        <f>F12</f>
        <v>0</v>
      </c>
      <c r="G32" s="192">
        <f>G12</f>
        <v>0</v>
      </c>
      <c r="H32" s="276">
        <f>(E32*F32)+(((0.25*C12)*D12)*F32)</f>
        <v>0</v>
      </c>
      <c r="I32" s="276">
        <f>H32*12</f>
        <v>0</v>
      </c>
      <c r="J32" s="152"/>
      <c r="K32" s="152"/>
    </row>
    <row r="33" spans="1:13" ht="31.05" customHeight="1">
      <c r="A33" s="152"/>
      <c r="B33" s="154"/>
      <c r="C33" s="152"/>
      <c r="D33" s="275"/>
      <c r="E33" s="152"/>
      <c r="F33" s="152"/>
      <c r="G33" s="152"/>
      <c r="H33" s="229"/>
      <c r="I33" s="229"/>
      <c r="J33" s="238" t="s">
        <v>350</v>
      </c>
      <c r="K33" s="212"/>
      <c r="L33" s="19">
        <f>K33/1708000</f>
        <v>0</v>
      </c>
    </row>
    <row r="34" spans="1:13">
      <c r="A34" s="152"/>
      <c r="B34" s="483" t="s">
        <v>257</v>
      </c>
      <c r="C34" s="483"/>
      <c r="D34" s="483"/>
      <c r="E34" s="483"/>
      <c r="F34" s="483"/>
      <c r="G34" s="483"/>
      <c r="H34" s="276">
        <f>($H$29-$H$12)+(E31*F31)+((0.67*C12)*D12)</f>
        <v>19709.333333333332</v>
      </c>
      <c r="I34" s="276">
        <f>($I$29-$I$12)+I31</f>
        <v>236511.99999999997</v>
      </c>
      <c r="J34" s="277">
        <f>1-(I34/I29)</f>
        <v>0</v>
      </c>
      <c r="K34" s="152"/>
    </row>
    <row r="35" spans="1:13">
      <c r="A35" s="152"/>
      <c r="B35" s="483" t="s">
        <v>258</v>
      </c>
      <c r="C35" s="483"/>
      <c r="D35" s="483"/>
      <c r="E35" s="483"/>
      <c r="F35" s="483"/>
      <c r="G35" s="483"/>
      <c r="H35" s="276">
        <f>($H$29-$H$12)+(E32*F32)+((0.33*C12)*D12)</f>
        <v>19709.333333333332</v>
      </c>
      <c r="I35" s="276">
        <f>($I$29-$I$12)+I32</f>
        <v>236511.99999999997</v>
      </c>
      <c r="J35" s="305">
        <f>(I35/I29)-100%</f>
        <v>0</v>
      </c>
      <c r="K35" s="152"/>
      <c r="L35" s="17"/>
      <c r="M35" s="19"/>
    </row>
    <row r="36" spans="1:13">
      <c r="A36" s="152"/>
      <c r="B36" s="154"/>
      <c r="C36" s="152"/>
      <c r="D36" s="275"/>
      <c r="E36" s="152"/>
      <c r="F36" s="152"/>
      <c r="G36" s="152"/>
      <c r="H36" s="152"/>
      <c r="I36" s="152"/>
      <c r="J36" s="152"/>
      <c r="K36" s="152"/>
    </row>
    <row r="37" spans="1:13" ht="18">
      <c r="A37" s="152" t="s">
        <v>312</v>
      </c>
      <c r="B37" s="154"/>
      <c r="C37" s="154"/>
      <c r="D37" s="152"/>
      <c r="E37" s="152"/>
      <c r="F37" s="152"/>
      <c r="G37" s="152"/>
      <c r="H37" s="152"/>
      <c r="I37" s="152"/>
      <c r="J37" s="152"/>
      <c r="K37" s="152"/>
    </row>
    <row r="38" spans="1:13" ht="18">
      <c r="A38" s="152" t="s">
        <v>437</v>
      </c>
      <c r="B38" s="154"/>
      <c r="C38" s="154"/>
      <c r="D38" s="152"/>
      <c r="E38" s="152"/>
      <c r="F38" s="152"/>
      <c r="G38" s="152"/>
      <c r="H38" s="152"/>
      <c r="I38" s="152"/>
      <c r="J38" s="152"/>
      <c r="K38" s="152"/>
    </row>
    <row r="39" spans="1:13" ht="18">
      <c r="A39" s="152" t="s">
        <v>592</v>
      </c>
      <c r="B39" s="154"/>
      <c r="C39" s="154"/>
      <c r="D39" s="154"/>
      <c r="E39" s="152"/>
      <c r="F39" s="152"/>
      <c r="G39" s="152"/>
      <c r="H39" s="152"/>
      <c r="I39" s="152"/>
      <c r="J39" s="152"/>
      <c r="K39" s="152"/>
    </row>
    <row r="40" spans="1:13" ht="18">
      <c r="A40" s="152" t="s">
        <v>316</v>
      </c>
      <c r="B40" s="154"/>
      <c r="C40" s="154"/>
      <c r="D40" s="154"/>
      <c r="E40" s="152"/>
      <c r="F40" s="152"/>
      <c r="G40" s="152"/>
      <c r="H40" s="152"/>
      <c r="I40" s="152"/>
      <c r="J40" s="152"/>
      <c r="K40" s="152"/>
    </row>
    <row r="41" spans="1:13" ht="18">
      <c r="A41" s="152" t="s">
        <v>436</v>
      </c>
      <c r="B41" s="154"/>
      <c r="C41" s="154"/>
      <c r="D41" s="154"/>
      <c r="E41" s="152"/>
      <c r="F41" s="152"/>
      <c r="G41" s="152"/>
      <c r="H41" s="152"/>
      <c r="I41" s="152"/>
      <c r="J41" s="152"/>
      <c r="K41" s="152"/>
    </row>
    <row r="42" spans="1:13">
      <c r="B42" s="23"/>
      <c r="C42" s="23"/>
      <c r="D42" s="23"/>
    </row>
    <row r="44" spans="1:13" ht="76.05" customHeight="1">
      <c r="A44" s="280" t="s">
        <v>9</v>
      </c>
      <c r="B44" s="272" t="s">
        <v>177</v>
      </c>
      <c r="C44" s="272" t="s">
        <v>179</v>
      </c>
      <c r="D44" s="272" t="s">
        <v>180</v>
      </c>
      <c r="E44" s="272" t="s">
        <v>319</v>
      </c>
      <c r="F44" s="272" t="s">
        <v>182</v>
      </c>
      <c r="G44" s="272" t="s">
        <v>172</v>
      </c>
      <c r="H44" s="272" t="s">
        <v>320</v>
      </c>
      <c r="I44" s="272" t="s">
        <v>306</v>
      </c>
    </row>
    <row r="45" spans="1:13">
      <c r="A45" s="152" t="s">
        <v>318</v>
      </c>
      <c r="B45" s="233" t="s">
        <v>122</v>
      </c>
      <c r="C45" s="152">
        <v>2.5</v>
      </c>
      <c r="D45" s="153">
        <v>1683</v>
      </c>
      <c r="E45" s="152">
        <v>5</v>
      </c>
      <c r="F45" s="155">
        <f>D45*E45</f>
        <v>8415</v>
      </c>
      <c r="G45" s="281">
        <f>F45*30.4167</f>
        <v>255956.53049999999</v>
      </c>
      <c r="H45" s="281">
        <f>G45*10</f>
        <v>2559565.3049999997</v>
      </c>
      <c r="I45" s="165">
        <f>((E45+2)*(4*365))/1200</f>
        <v>8.5166666666666675</v>
      </c>
      <c r="L45" s="18"/>
    </row>
    <row r="46" spans="1:13">
      <c r="A46" s="152" t="s">
        <v>176</v>
      </c>
      <c r="B46" s="233" t="s">
        <v>178</v>
      </c>
      <c r="C46" s="152">
        <v>0.75</v>
      </c>
      <c r="D46" s="152">
        <v>80</v>
      </c>
      <c r="E46" s="152">
        <v>20</v>
      </c>
      <c r="F46" s="155">
        <f>D46*E46</f>
        <v>1600</v>
      </c>
      <c r="G46" s="281">
        <f>F46*30.4167</f>
        <v>48666.720000000001</v>
      </c>
      <c r="H46" s="281">
        <f>G46*12</f>
        <v>584000.64</v>
      </c>
      <c r="I46" s="188"/>
      <c r="L46" s="18"/>
    </row>
    <row r="47" spans="1:13">
      <c r="A47" s="152"/>
      <c r="B47" s="152"/>
      <c r="C47" s="152"/>
      <c r="D47" s="483" t="s">
        <v>166</v>
      </c>
      <c r="E47" s="483"/>
      <c r="F47" s="158">
        <f>SUM(F45:F46)</f>
        <v>10015</v>
      </c>
      <c r="G47" s="281">
        <f>SUM(G45:G46)</f>
        <v>304623.25049999997</v>
      </c>
      <c r="H47" s="281">
        <f>SUM(H45:H46)</f>
        <v>3143565.9449999998</v>
      </c>
      <c r="I47" s="188"/>
    </row>
    <row r="48" spans="1:13" ht="18">
      <c r="A48" s="152" t="s">
        <v>593</v>
      </c>
      <c r="B48" s="152"/>
      <c r="C48" s="152"/>
      <c r="D48" s="242"/>
      <c r="E48" s="242"/>
      <c r="F48" s="158"/>
      <c r="G48" s="279"/>
      <c r="H48" s="279"/>
      <c r="I48" s="152"/>
    </row>
    <row r="49" spans="1:12" ht="18">
      <c r="A49" s="152" t="s">
        <v>321</v>
      </c>
      <c r="B49" s="152"/>
      <c r="C49" s="152"/>
      <c r="D49" s="152"/>
      <c r="E49" s="152"/>
      <c r="F49" s="152"/>
      <c r="G49" s="152"/>
      <c r="H49" s="152"/>
      <c r="I49" s="152"/>
    </row>
    <row r="52" spans="1:12" ht="54.6">
      <c r="A52" s="282" t="s">
        <v>1</v>
      </c>
      <c r="B52" s="272" t="s">
        <v>177</v>
      </c>
      <c r="C52" s="272" t="s">
        <v>185</v>
      </c>
      <c r="D52" s="272" t="s">
        <v>184</v>
      </c>
      <c r="E52" s="152"/>
      <c r="F52" s="152"/>
      <c r="G52" s="152"/>
      <c r="H52" s="272" t="s">
        <v>171</v>
      </c>
      <c r="I52" s="272" t="s">
        <v>260</v>
      </c>
      <c r="J52" s="175" t="s">
        <v>511</v>
      </c>
    </row>
    <row r="53" spans="1:12">
      <c r="A53" s="152" t="s">
        <v>107</v>
      </c>
      <c r="B53" s="233" t="s">
        <v>111</v>
      </c>
      <c r="C53" s="191">
        <f>185*'Calorie Planning Factors'!B4</f>
        <v>0</v>
      </c>
      <c r="D53" s="153">
        <v>1520</v>
      </c>
      <c r="E53" s="152"/>
      <c r="F53" s="152"/>
      <c r="G53" s="152"/>
      <c r="H53" s="276">
        <f>C53*D53</f>
        <v>0</v>
      </c>
      <c r="I53" s="283">
        <f>C53/('Food-related Resourses'!B116*'Food-related Resourses'!B117)</f>
        <v>0</v>
      </c>
      <c r="J53" s="276">
        <f>C53/'Food-related Resourses'!C66</f>
        <v>0</v>
      </c>
      <c r="L53" s="19"/>
    </row>
    <row r="54" spans="1:12">
      <c r="A54" s="152" t="s">
        <v>63</v>
      </c>
      <c r="B54" s="233" t="s">
        <v>111</v>
      </c>
      <c r="C54" s="191">
        <f>185*'Calorie Planning Factors'!B4</f>
        <v>0</v>
      </c>
      <c r="D54" s="153">
        <v>1656</v>
      </c>
      <c r="E54" s="152"/>
      <c r="F54" s="152"/>
      <c r="G54" s="152"/>
      <c r="H54" s="276">
        <f>C54*D54</f>
        <v>0</v>
      </c>
      <c r="I54" s="283">
        <f>C54/('Food-related Resourses'!B120*'Food-related Resourses'!B121)</f>
        <v>0</v>
      </c>
      <c r="J54" s="276">
        <f>C54/'Food-related Resourses'!C69</f>
        <v>0</v>
      </c>
    </row>
    <row r="55" spans="1:12">
      <c r="A55" s="152" t="s">
        <v>16</v>
      </c>
      <c r="B55" s="233" t="s">
        <v>111</v>
      </c>
      <c r="C55" s="191">
        <f>125*'Calorie Planning Factors'!B4</f>
        <v>0</v>
      </c>
      <c r="D55" s="153">
        <v>1568</v>
      </c>
      <c r="E55" s="152"/>
      <c r="F55" s="152"/>
      <c r="G55" s="152"/>
      <c r="H55" s="276">
        <f>C55*D55</f>
        <v>0</v>
      </c>
      <c r="I55" s="276">
        <f>C55/'Food-related Resourses'!B124</f>
        <v>0</v>
      </c>
      <c r="J55" s="276">
        <f>C55/'Food-related Resourses'!C76</f>
        <v>0</v>
      </c>
      <c r="L55" s="19"/>
    </row>
    <row r="56" spans="1:12">
      <c r="A56" s="152"/>
      <c r="B56" s="152"/>
      <c r="C56" s="152"/>
      <c r="D56" s="152"/>
      <c r="E56" s="152"/>
      <c r="F56" s="483" t="s">
        <v>166</v>
      </c>
      <c r="G56" s="483"/>
      <c r="H56" s="276">
        <f>SUM(H53:H55)</f>
        <v>0</v>
      </c>
      <c r="I56" s="97"/>
      <c r="L56" s="19"/>
    </row>
    <row r="57" spans="1:12">
      <c r="A57" s="152"/>
      <c r="B57" s="152"/>
      <c r="C57" s="152"/>
      <c r="D57" s="152"/>
      <c r="E57" s="483" t="s">
        <v>295</v>
      </c>
      <c r="F57" s="483"/>
      <c r="G57" s="483"/>
      <c r="H57" s="483"/>
      <c r="I57" s="283">
        <f>SUM(I53:I56)</f>
        <v>0</v>
      </c>
    </row>
    <row r="58" spans="1:12">
      <c r="E58" s="45"/>
      <c r="F58" s="45"/>
      <c r="G58" s="45"/>
      <c r="H58" s="45"/>
      <c r="I58" s="81"/>
    </row>
    <row r="59" spans="1:12" ht="54.6">
      <c r="A59" s="284" t="s">
        <v>58</v>
      </c>
      <c r="B59" s="272" t="s">
        <v>177</v>
      </c>
      <c r="C59" s="272" t="s">
        <v>185</v>
      </c>
      <c r="D59" s="272" t="s">
        <v>267</v>
      </c>
      <c r="E59" s="152"/>
      <c r="F59" s="152"/>
      <c r="G59" s="152"/>
      <c r="H59" s="272" t="s">
        <v>171</v>
      </c>
      <c r="I59" s="272" t="s">
        <v>260</v>
      </c>
    </row>
    <row r="60" spans="1:12">
      <c r="A60" s="152" t="s">
        <v>187</v>
      </c>
      <c r="B60" s="233" t="s">
        <v>111</v>
      </c>
      <c r="C60" s="191">
        <f>375*'Calorie Planning Factors'!B4</f>
        <v>0</v>
      </c>
      <c r="D60" s="152">
        <f>'Calorie Sources Data'!C107</f>
        <v>294</v>
      </c>
      <c r="E60" s="152"/>
      <c r="F60" s="152"/>
      <c r="G60" s="152"/>
      <c r="H60" s="191">
        <f>C60*D60</f>
        <v>0</v>
      </c>
      <c r="I60" s="283">
        <f>C60/'Food-related Resourses'!B127</f>
        <v>0</v>
      </c>
    </row>
    <row r="61" spans="1:12">
      <c r="A61" s="152" t="s">
        <v>265</v>
      </c>
      <c r="B61" s="233" t="s">
        <v>111</v>
      </c>
      <c r="C61" s="191">
        <f>25*'Calorie Planning Factors'!B4</f>
        <v>0</v>
      </c>
      <c r="D61" s="152">
        <f>'Calorie Sources Data'!C108</f>
        <v>115</v>
      </c>
      <c r="E61" s="152"/>
      <c r="F61" s="152"/>
      <c r="G61" s="152"/>
      <c r="H61" s="191">
        <f>C61*D61</f>
        <v>0</v>
      </c>
      <c r="I61" s="229"/>
    </row>
    <row r="62" spans="1:12">
      <c r="A62" s="152"/>
      <c r="B62" s="152"/>
      <c r="C62" s="152"/>
      <c r="D62" s="152"/>
      <c r="E62" s="152"/>
      <c r="F62" s="483" t="s">
        <v>166</v>
      </c>
      <c r="G62" s="483"/>
      <c r="H62" s="276">
        <f>SUM(H60:H61)</f>
        <v>0</v>
      </c>
      <c r="I62" s="229"/>
    </row>
    <row r="63" spans="1:12">
      <c r="A63" s="152"/>
      <c r="B63" s="152"/>
      <c r="C63" s="152"/>
      <c r="D63" s="152"/>
      <c r="E63" s="152"/>
      <c r="F63" s="239"/>
      <c r="G63" s="239"/>
      <c r="H63" s="239" t="s">
        <v>297</v>
      </c>
      <c r="I63" s="283">
        <f>SUM(I60:I62)</f>
        <v>0</v>
      </c>
    </row>
    <row r="64" spans="1:12">
      <c r="A64" s="152"/>
      <c r="B64" s="152"/>
      <c r="C64" s="152"/>
      <c r="D64" s="152"/>
      <c r="E64" s="152"/>
      <c r="F64" s="239"/>
      <c r="G64" s="239"/>
      <c r="H64" s="239" t="s">
        <v>296</v>
      </c>
      <c r="I64" s="283">
        <f>I57+I63</f>
        <v>0</v>
      </c>
    </row>
    <row r="65" spans="1:9">
      <c r="F65" s="96"/>
      <c r="G65" s="96"/>
      <c r="H65" s="96"/>
      <c r="I65" s="81"/>
    </row>
    <row r="66" spans="1:9" ht="48">
      <c r="A66" s="280" t="s">
        <v>189</v>
      </c>
      <c r="B66" s="272" t="s">
        <v>171</v>
      </c>
      <c r="C66" s="307" t="s">
        <v>438</v>
      </c>
      <c r="D66" s="238" t="s">
        <v>433</v>
      </c>
      <c r="E66" s="238" t="s">
        <v>432</v>
      </c>
    </row>
    <row r="67" spans="1:9">
      <c r="A67" s="152" t="s">
        <v>248</v>
      </c>
      <c r="B67" s="191">
        <f>I35</f>
        <v>236511.99999999997</v>
      </c>
      <c r="C67" s="305">
        <f>B67/$B$71</f>
        <v>6.997235088908578E-2</v>
      </c>
      <c r="D67" s="152"/>
      <c r="E67" s="165">
        <f>J12</f>
        <v>0</v>
      </c>
    </row>
    <row r="68" spans="1:9">
      <c r="A68" s="152" t="s">
        <v>9</v>
      </c>
      <c r="B68" s="191">
        <f>H47</f>
        <v>3143565.9449999998</v>
      </c>
      <c r="C68" s="305">
        <f t="shared" ref="C68:C70" si="6">B68/$B$71</f>
        <v>0.93002764911091418</v>
      </c>
      <c r="D68" s="152"/>
      <c r="E68" s="165">
        <f>I45</f>
        <v>8.5166666666666675</v>
      </c>
    </row>
    <row r="69" spans="1:9">
      <c r="A69" s="152" t="s">
        <v>439</v>
      </c>
      <c r="B69" s="191">
        <f>H56</f>
        <v>0</v>
      </c>
      <c r="C69" s="305">
        <f t="shared" si="6"/>
        <v>0</v>
      </c>
      <c r="D69" s="228">
        <f>I64</f>
        <v>0</v>
      </c>
      <c r="E69" s="152"/>
      <c r="F69" s="301" t="s">
        <v>435</v>
      </c>
      <c r="G69" s="302" t="e">
        <f>(((B71*0.92)/B73)-100%)</f>
        <v>#DIV/0!</v>
      </c>
      <c r="H69" s="306" t="s">
        <v>434</v>
      </c>
      <c r="I69" s="303"/>
    </row>
    <row r="70" spans="1:9">
      <c r="A70" s="152" t="s">
        <v>58</v>
      </c>
      <c r="B70" s="191">
        <f>H62</f>
        <v>0</v>
      </c>
      <c r="C70" s="305">
        <f t="shared" si="6"/>
        <v>0</v>
      </c>
      <c r="D70" s="152"/>
      <c r="E70" s="152"/>
    </row>
    <row r="71" spans="1:9">
      <c r="A71" s="152" t="s">
        <v>190</v>
      </c>
      <c r="B71" s="276">
        <f>SUM(B67:B70)</f>
        <v>3380077.9449999998</v>
      </c>
      <c r="C71" s="308">
        <f>SUM(C67:C70)</f>
        <v>1</v>
      </c>
      <c r="D71" s="228">
        <f>SUM(D67:D70)</f>
        <v>0</v>
      </c>
      <c r="E71" s="165">
        <f>SUM(E67:E70)</f>
        <v>8.5166666666666675</v>
      </c>
      <c r="F71" s="301" t="s">
        <v>435</v>
      </c>
      <c r="G71" s="304" t="e">
        <f>(((B71*0.92)/B73)-100%)</f>
        <v>#DIV/0!</v>
      </c>
      <c r="H71" s="306" t="s">
        <v>434</v>
      </c>
      <c r="I71" s="303"/>
    </row>
    <row r="72" spans="1:9">
      <c r="A72" s="152"/>
      <c r="B72" s="152"/>
    </row>
    <row r="73" spans="1:9" ht="21" customHeight="1">
      <c r="A73" s="152" t="e">
        <f ca="1">_xlfn.CONCAT("Total Calories Req'd for ",'Calorie Planning Factors'!B4," Members per Yr")</f>
        <v>#NAME?</v>
      </c>
      <c r="B73" s="161">
        <f>'Calorie Planning Factors'!N41+'Calorie Planning Factors'!Q41</f>
        <v>0</v>
      </c>
    </row>
    <row r="74" spans="1:9" ht="40.049999999999997" customHeight="1">
      <c r="A74" s="151" t="e">
        <f ca="1">_xlfn.CONCAT("Total Source 3 (Organic) Calories Req'd for ",'Calorie Planning Factors'!B4," Members in Yr 1")</f>
        <v>#NAME?</v>
      </c>
      <c r="B74" s="161">
        <f>(B73/12)*'Calorie Planning Factors'!F40</f>
        <v>0</v>
      </c>
    </row>
    <row r="75" spans="1:9">
      <c r="B75" s="42"/>
    </row>
    <row r="76" spans="1:9">
      <c r="B76" s="42"/>
    </row>
    <row r="78" spans="1:9" ht="15" customHeight="1">
      <c r="A78" s="386"/>
      <c r="B78" s="387"/>
      <c r="C78" s="387"/>
      <c r="D78" s="387"/>
      <c r="E78" s="199"/>
      <c r="F78" s="199"/>
      <c r="G78" s="199"/>
      <c r="H78" s="199"/>
      <c r="I78" s="199"/>
    </row>
    <row r="79" spans="1:9" ht="19.05" customHeight="1">
      <c r="A79" s="386"/>
      <c r="B79" s="387"/>
      <c r="C79" s="494"/>
      <c r="D79" s="494"/>
      <c r="E79" s="199"/>
      <c r="F79" s="199"/>
      <c r="G79" s="494"/>
      <c r="H79" s="494"/>
      <c r="I79" s="199"/>
    </row>
    <row r="80" spans="1:9">
      <c r="A80" s="371"/>
      <c r="B80" s="199"/>
      <c r="C80" s="388"/>
      <c r="D80" s="371"/>
      <c r="E80" s="199"/>
      <c r="F80" s="199"/>
      <c r="G80" s="388"/>
      <c r="H80" s="371"/>
      <c r="I80" s="199"/>
    </row>
    <row r="81" spans="1:9">
      <c r="A81" s="389"/>
      <c r="B81" s="199"/>
      <c r="C81" s="390"/>
      <c r="D81" s="390"/>
      <c r="E81" s="199"/>
      <c r="F81" s="199"/>
      <c r="G81" s="391"/>
      <c r="H81" s="392"/>
      <c r="I81" s="199"/>
    </row>
    <row r="82" spans="1:9">
      <c r="A82" s="389"/>
      <c r="B82" s="199"/>
      <c r="C82" s="390"/>
      <c r="D82" s="199"/>
      <c r="E82" s="199"/>
      <c r="F82" s="199"/>
      <c r="G82" s="391"/>
      <c r="H82" s="199"/>
      <c r="I82" s="199"/>
    </row>
    <row r="83" spans="1:9">
      <c r="A83" s="389"/>
      <c r="B83" s="199"/>
      <c r="C83" s="390"/>
      <c r="D83" s="199"/>
      <c r="E83" s="199"/>
      <c r="F83" s="199"/>
      <c r="G83" s="391"/>
      <c r="H83" s="199"/>
      <c r="I83" s="199"/>
    </row>
    <row r="84" spans="1:9">
      <c r="A84" s="389"/>
      <c r="B84" s="199"/>
      <c r="C84" s="390"/>
      <c r="D84" s="390"/>
      <c r="E84" s="199"/>
      <c r="F84" s="199"/>
      <c r="G84" s="391"/>
      <c r="H84" s="392"/>
      <c r="I84" s="199"/>
    </row>
    <row r="85" spans="1:9">
      <c r="A85" s="389"/>
      <c r="B85" s="199"/>
      <c r="C85" s="390"/>
      <c r="D85" s="199"/>
      <c r="E85" s="199"/>
      <c r="F85" s="199"/>
      <c r="G85" s="391"/>
      <c r="H85" s="199"/>
      <c r="I85" s="199"/>
    </row>
    <row r="86" spans="1:9">
      <c r="A86" s="389"/>
      <c r="B86" s="199"/>
      <c r="C86" s="390"/>
      <c r="D86" s="199"/>
      <c r="E86" s="199"/>
      <c r="F86" s="199"/>
      <c r="G86" s="391"/>
      <c r="H86" s="199"/>
      <c r="I86" s="199"/>
    </row>
    <row r="87" spans="1:9">
      <c r="A87" s="389"/>
      <c r="B87" s="199"/>
      <c r="C87" s="390"/>
      <c r="D87" s="199"/>
      <c r="E87" s="199"/>
      <c r="F87" s="199"/>
      <c r="G87" s="391"/>
      <c r="H87" s="199"/>
      <c r="I87" s="199"/>
    </row>
    <row r="88" spans="1:9">
      <c r="A88" s="389"/>
      <c r="B88" s="199"/>
      <c r="C88" s="390"/>
      <c r="D88" s="199"/>
      <c r="E88" s="199"/>
      <c r="F88" s="199"/>
      <c r="G88" s="391"/>
      <c r="H88" s="199"/>
      <c r="I88" s="199"/>
    </row>
    <row r="89" spans="1:9">
      <c r="A89" s="393"/>
      <c r="B89" s="199"/>
      <c r="C89" s="390"/>
      <c r="D89" s="199"/>
      <c r="E89" s="199"/>
      <c r="F89" s="199"/>
      <c r="G89" s="394"/>
      <c r="H89" s="199"/>
      <c r="I89" s="199"/>
    </row>
    <row r="90" spans="1:9">
      <c r="A90" s="389"/>
      <c r="B90" s="199"/>
      <c r="C90" s="199"/>
      <c r="D90" s="199"/>
      <c r="E90" s="199"/>
      <c r="F90" s="199"/>
      <c r="G90" s="199"/>
      <c r="H90" s="199"/>
      <c r="I90" s="199"/>
    </row>
    <row r="91" spans="1:9">
      <c r="A91" s="395"/>
      <c r="B91" s="199"/>
      <c r="C91" s="199"/>
      <c r="D91" s="199"/>
      <c r="E91" s="199"/>
      <c r="F91" s="199"/>
      <c r="G91" s="199"/>
      <c r="H91" s="199"/>
      <c r="I91" s="199"/>
    </row>
    <row r="92" spans="1:9">
      <c r="A92" s="389"/>
      <c r="B92" s="205"/>
      <c r="C92" s="390"/>
      <c r="D92" s="199"/>
      <c r="E92" s="199"/>
      <c r="F92" s="205"/>
      <c r="G92" s="394"/>
      <c r="H92" s="392"/>
      <c r="I92" s="199"/>
    </row>
    <row r="93" spans="1:9">
      <c r="A93" s="389"/>
      <c r="B93" s="205"/>
      <c r="C93" s="390"/>
      <c r="D93" s="396"/>
      <c r="E93" s="199"/>
      <c r="F93" s="205"/>
      <c r="G93" s="394"/>
      <c r="H93" s="392"/>
      <c r="I93" s="199"/>
    </row>
    <row r="94" spans="1:9">
      <c r="A94" s="389"/>
      <c r="B94" s="205"/>
      <c r="C94" s="390"/>
      <c r="D94" s="396"/>
      <c r="E94" s="199"/>
      <c r="F94" s="205"/>
      <c r="G94" s="394"/>
      <c r="H94" s="392"/>
      <c r="I94" s="199"/>
    </row>
    <row r="95" spans="1:9">
      <c r="A95" s="389"/>
      <c r="B95" s="205"/>
      <c r="C95" s="390"/>
      <c r="D95" s="396"/>
      <c r="E95" s="199"/>
      <c r="F95" s="205"/>
      <c r="G95" s="394"/>
      <c r="H95" s="392"/>
      <c r="I95" s="199"/>
    </row>
    <row r="96" spans="1:9">
      <c r="A96" s="389"/>
      <c r="B96" s="205"/>
      <c r="C96" s="390"/>
      <c r="D96" s="199"/>
      <c r="E96" s="199"/>
      <c r="F96" s="205"/>
      <c r="G96" s="394"/>
      <c r="H96" s="199"/>
      <c r="I96" s="199"/>
    </row>
    <row r="97" spans="1:9">
      <c r="A97" s="199"/>
      <c r="B97" s="199"/>
      <c r="C97" s="390"/>
      <c r="D97" s="199"/>
      <c r="E97" s="199"/>
      <c r="F97" s="199"/>
      <c r="G97" s="199"/>
      <c r="H97" s="199"/>
      <c r="I97" s="199"/>
    </row>
    <row r="98" spans="1:9">
      <c r="A98" s="199"/>
      <c r="B98" s="199"/>
      <c r="C98" s="199"/>
      <c r="D98" s="199"/>
      <c r="E98" s="199"/>
      <c r="F98" s="199"/>
      <c r="G98" s="199"/>
      <c r="H98" s="199"/>
      <c r="I98" s="199"/>
    </row>
  </sheetData>
  <sheetProtection algorithmName="SHA-512" hashValue="u5TOXVMec8Tba4eV5sCAVijYzILWkqYw/9KD5jawVbtodY0w3KKgB3t0knLRMz6O5HD3+HmYlTt6AD2OwMj0fQ==" saltValue="/e1eWoOQYQ7RJwCXuF4bwg==" spinCount="100000" sheet="1" objects="1" scenarios="1" selectLockedCells="1" selectUnlockedCells="1"/>
  <mergeCells count="14">
    <mergeCell ref="C79:D79"/>
    <mergeCell ref="E57:H57"/>
    <mergeCell ref="B34:G34"/>
    <mergeCell ref="B35:G35"/>
    <mergeCell ref="D47:E47"/>
    <mergeCell ref="F56:G56"/>
    <mergeCell ref="F62:G62"/>
    <mergeCell ref="G79:H79"/>
    <mergeCell ref="D29:G29"/>
    <mergeCell ref="A3:G3"/>
    <mergeCell ref="A1:G1"/>
    <mergeCell ref="A5:G5"/>
    <mergeCell ref="A6:G6"/>
    <mergeCell ref="A7:G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M60"/>
  <sheetViews>
    <sheetView zoomScaleNormal="100" workbookViewId="0">
      <selection sqref="A1:XFD1048576"/>
    </sheetView>
  </sheetViews>
  <sheetFormatPr defaultColWidth="11.19921875" defaultRowHeight="15.6"/>
  <cols>
    <col min="1" max="1" width="40.69921875" customWidth="1"/>
    <col min="2" max="2" width="14" bestFit="1" customWidth="1"/>
    <col min="3" max="3" width="11.69921875" bestFit="1" customWidth="1"/>
    <col min="4" max="4" width="11.796875" customWidth="1"/>
    <col min="5" max="5" width="14.5" customWidth="1"/>
    <col min="6" max="6" width="11.69921875" bestFit="1" customWidth="1"/>
    <col min="7" max="7" width="14.19921875" customWidth="1"/>
    <col min="8" max="9" width="13" bestFit="1" customWidth="1"/>
    <col min="10" max="10" width="17.796875" customWidth="1"/>
  </cols>
  <sheetData>
    <row r="1" spans="1:13" ht="34.950000000000003" customHeight="1">
      <c r="A1" s="485" t="s">
        <v>429</v>
      </c>
      <c r="B1" s="486"/>
      <c r="C1" s="486"/>
      <c r="D1" s="486"/>
      <c r="E1" s="486"/>
      <c r="F1" s="486"/>
      <c r="G1" s="487"/>
      <c r="H1" s="43"/>
      <c r="I1" s="43"/>
      <c r="J1" s="43"/>
      <c r="K1" s="43"/>
      <c r="L1" s="43"/>
      <c r="M1" s="43"/>
    </row>
    <row r="2" spans="1:13" ht="25.95" customHeight="1">
      <c r="A2" s="264"/>
      <c r="B2" s="265"/>
      <c r="C2" s="265"/>
      <c r="D2" s="265"/>
      <c r="E2" s="265"/>
      <c r="F2" s="265"/>
      <c r="G2" s="266"/>
      <c r="H2" s="43"/>
      <c r="I2" s="43"/>
      <c r="J2" s="43"/>
      <c r="K2" s="43"/>
      <c r="L2" s="43"/>
      <c r="M2" s="43"/>
    </row>
    <row r="3" spans="1:13" ht="31.95" customHeight="1">
      <c r="A3" s="473" t="s">
        <v>430</v>
      </c>
      <c r="B3" s="474"/>
      <c r="C3" s="474"/>
      <c r="D3" s="474"/>
      <c r="E3" s="474"/>
      <c r="F3" s="474"/>
      <c r="G3" s="484"/>
      <c r="H3" s="43"/>
      <c r="I3" s="43"/>
      <c r="J3" s="43"/>
      <c r="K3" s="43"/>
      <c r="L3" s="43"/>
      <c r="M3" s="43"/>
    </row>
    <row r="4" spans="1:13" ht="16.05" customHeight="1">
      <c r="A4" s="264"/>
      <c r="B4" s="265"/>
      <c r="C4" s="265"/>
      <c r="D4" s="265"/>
      <c r="E4" s="265"/>
      <c r="F4" s="265"/>
      <c r="G4" s="266"/>
      <c r="H4" s="43"/>
      <c r="I4" s="43"/>
      <c r="J4" s="43"/>
      <c r="K4" s="43"/>
      <c r="L4" s="43"/>
      <c r="M4" s="43"/>
    </row>
    <row r="5" spans="1:13" ht="67.95" customHeight="1">
      <c r="A5" s="434" t="s">
        <v>431</v>
      </c>
      <c r="B5" s="488"/>
      <c r="C5" s="488"/>
      <c r="D5" s="488"/>
      <c r="E5" s="488"/>
      <c r="F5" s="488"/>
      <c r="G5" s="489"/>
      <c r="H5" s="43"/>
      <c r="I5" s="43"/>
      <c r="J5" s="43"/>
      <c r="K5" s="43"/>
      <c r="L5" s="43"/>
      <c r="M5" s="43"/>
    </row>
    <row r="6" spans="1:13" ht="64.05" customHeight="1">
      <c r="A6" s="490" t="s">
        <v>426</v>
      </c>
      <c r="B6" s="491"/>
      <c r="C6" s="491"/>
      <c r="D6" s="491"/>
      <c r="E6" s="491"/>
      <c r="F6" s="491"/>
      <c r="G6" s="492"/>
      <c r="H6" s="43"/>
      <c r="I6" s="43"/>
      <c r="J6" s="43"/>
      <c r="K6" s="43"/>
      <c r="L6" s="43"/>
      <c r="M6" s="43"/>
    </row>
    <row r="7" spans="1:13" ht="25.05" customHeight="1">
      <c r="A7" s="493" t="s">
        <v>474</v>
      </c>
      <c r="B7" s="488"/>
      <c r="C7" s="488"/>
      <c r="D7" s="488"/>
      <c r="E7" s="488"/>
      <c r="F7" s="488"/>
      <c r="G7" s="489"/>
      <c r="H7" s="43"/>
      <c r="I7" s="43"/>
      <c r="J7" s="43"/>
      <c r="K7" s="43"/>
      <c r="L7" s="43"/>
      <c r="M7" s="43"/>
    </row>
    <row r="8" spans="1:13" ht="25.05" customHeight="1" thickBot="1">
      <c r="A8" s="267" t="s">
        <v>427</v>
      </c>
      <c r="B8" s="268"/>
      <c r="C8" s="268"/>
      <c r="D8" s="268"/>
      <c r="E8" s="268"/>
      <c r="F8" s="268"/>
      <c r="G8" s="269"/>
      <c r="H8" s="43"/>
      <c r="I8" s="43"/>
      <c r="J8" s="43"/>
      <c r="K8" s="43"/>
      <c r="L8" s="43"/>
      <c r="M8" s="43"/>
    </row>
    <row r="9" spans="1:13" ht="25.05" customHeight="1">
      <c r="A9" s="270"/>
      <c r="B9" s="271"/>
      <c r="C9" s="271"/>
      <c r="D9" s="271"/>
      <c r="E9" s="271"/>
      <c r="F9" s="271"/>
      <c r="G9" s="271"/>
      <c r="H9" s="43"/>
      <c r="I9" s="43"/>
      <c r="J9" s="43"/>
      <c r="K9" s="43"/>
      <c r="L9" s="43"/>
      <c r="M9" s="43"/>
    </row>
    <row r="11" spans="1:13" ht="25.95" customHeight="1">
      <c r="A11" s="495" t="s">
        <v>428</v>
      </c>
      <c r="B11" s="496"/>
      <c r="C11" s="496"/>
      <c r="D11" s="496"/>
      <c r="E11" s="497"/>
      <c r="F11" s="152"/>
      <c r="G11" s="152"/>
      <c r="H11" s="152"/>
    </row>
    <row r="12" spans="1:13" ht="15" customHeight="1">
      <c r="A12" s="286"/>
      <c r="B12" s="287"/>
      <c r="C12" s="287"/>
      <c r="D12" s="287"/>
      <c r="E12" s="152"/>
      <c r="F12" s="152"/>
      <c r="G12" s="152"/>
      <c r="H12" s="152"/>
    </row>
    <row r="13" spans="1:13" ht="19.05" customHeight="1">
      <c r="A13" s="286"/>
      <c r="B13" s="287"/>
      <c r="C13" s="419" t="s">
        <v>242</v>
      </c>
      <c r="D13" s="419"/>
      <c r="E13" s="152"/>
      <c r="F13" s="152"/>
      <c r="G13" s="442" t="e">
        <f ca="1">_xlfn.CONCAT('Calorie Planning Factors'!B4, " Total Members")</f>
        <v>#NAME?</v>
      </c>
      <c r="H13" s="444"/>
    </row>
    <row r="14" spans="1:13">
      <c r="A14" s="188" t="s">
        <v>249</v>
      </c>
      <c r="B14" s="152"/>
      <c r="C14" s="156" t="s">
        <v>111</v>
      </c>
      <c r="D14" s="188" t="s">
        <v>112</v>
      </c>
      <c r="E14" s="152"/>
      <c r="F14" s="152"/>
      <c r="G14" s="156" t="s">
        <v>111</v>
      </c>
      <c r="H14" s="188" t="s">
        <v>112</v>
      </c>
    </row>
    <row r="15" spans="1:13">
      <c r="A15" s="225" t="s">
        <v>138</v>
      </c>
      <c r="B15" s="152"/>
      <c r="C15" s="288">
        <f>20/6</f>
        <v>3.3333333333333335</v>
      </c>
      <c r="D15" s="288">
        <f>C15/'Food-related Resourses'!C82</f>
        <v>9.5238095238095247E-2</v>
      </c>
      <c r="E15" s="152"/>
      <c r="F15" s="152"/>
      <c r="G15" s="290">
        <f>C15*'Calorie Planning Factors'!$B$4</f>
        <v>0</v>
      </c>
      <c r="H15" s="291">
        <f>D15*'Calorie Planning Factors'!$B$4</f>
        <v>0</v>
      </c>
    </row>
    <row r="16" spans="1:13">
      <c r="A16" s="225" t="s">
        <v>139</v>
      </c>
      <c r="B16" s="152"/>
      <c r="C16" s="288">
        <f>2/6</f>
        <v>0.33333333333333331</v>
      </c>
      <c r="D16" s="289"/>
      <c r="E16" s="152"/>
      <c r="F16" s="152"/>
      <c r="G16" s="290">
        <f>C16*'Calorie Planning Factors'!$B$4</f>
        <v>0</v>
      </c>
      <c r="H16" s="289"/>
    </row>
    <row r="17" spans="1:8">
      <c r="A17" s="225" t="s">
        <v>140</v>
      </c>
      <c r="B17" s="152"/>
      <c r="C17" s="288">
        <f>3/6</f>
        <v>0.5</v>
      </c>
      <c r="D17" s="289"/>
      <c r="E17" s="152"/>
      <c r="F17" s="152"/>
      <c r="G17" s="290">
        <f>C17*'Calorie Planning Factors'!$B$4</f>
        <v>0</v>
      </c>
      <c r="H17" s="289"/>
    </row>
    <row r="18" spans="1:8">
      <c r="A18" s="225" t="s">
        <v>141</v>
      </c>
      <c r="B18" s="152"/>
      <c r="C18" s="288">
        <f>2/6</f>
        <v>0.33333333333333331</v>
      </c>
      <c r="D18" s="288">
        <f>C18/'Food-related Resourses'!C83</f>
        <v>1.01010101010101E-2</v>
      </c>
      <c r="E18" s="152"/>
      <c r="F18" s="152"/>
      <c r="G18" s="290">
        <f>C18*'Calorie Planning Factors'!$B$4</f>
        <v>0</v>
      </c>
      <c r="H18" s="291">
        <f>D18*'Calorie Planning Factors'!$B$4</f>
        <v>0</v>
      </c>
    </row>
    <row r="19" spans="1:8">
      <c r="A19" s="225" t="s">
        <v>142</v>
      </c>
      <c r="B19" s="152"/>
      <c r="C19" s="288">
        <f>1/6</f>
        <v>0.16666666666666666</v>
      </c>
      <c r="D19" s="289"/>
      <c r="E19" s="152"/>
      <c r="F19" s="152"/>
      <c r="G19" s="290">
        <f>C19*'Calorie Planning Factors'!$B$4</f>
        <v>0</v>
      </c>
      <c r="H19" s="289"/>
    </row>
    <row r="20" spans="1:8">
      <c r="A20" s="225" t="s">
        <v>143</v>
      </c>
      <c r="B20" s="152"/>
      <c r="C20" s="288">
        <f>2/6</f>
        <v>0.33333333333333331</v>
      </c>
      <c r="D20" s="289"/>
      <c r="E20" s="152"/>
      <c r="F20" s="152"/>
      <c r="G20" s="290">
        <f>C20*'Calorie Planning Factors'!$B$4</f>
        <v>0</v>
      </c>
      <c r="H20" s="289"/>
    </row>
    <row r="21" spans="1:8">
      <c r="A21" s="225" t="s">
        <v>144</v>
      </c>
      <c r="B21" s="152"/>
      <c r="C21" s="288">
        <f>1/6</f>
        <v>0.16666666666666666</v>
      </c>
      <c r="D21" s="289"/>
      <c r="E21" s="152"/>
      <c r="F21" s="152"/>
      <c r="G21" s="290">
        <f>C21*'Calorie Planning Factors'!$B$4</f>
        <v>0</v>
      </c>
      <c r="H21" s="289"/>
    </row>
    <row r="22" spans="1:8">
      <c r="A22" s="225" t="s">
        <v>145</v>
      </c>
      <c r="B22" s="152"/>
      <c r="C22" s="288">
        <v>1</v>
      </c>
      <c r="D22" s="289"/>
      <c r="E22" s="152"/>
      <c r="F22" s="152"/>
      <c r="G22" s="290">
        <f>C22*'Calorie Planning Factors'!$B$4</f>
        <v>0</v>
      </c>
      <c r="H22" s="289"/>
    </row>
    <row r="23" spans="1:8">
      <c r="A23" s="227" t="s">
        <v>146</v>
      </c>
      <c r="B23" s="152"/>
      <c r="C23" s="288">
        <f>SUM(C15:C22)</f>
        <v>6.166666666666667</v>
      </c>
      <c r="D23" s="289"/>
      <c r="E23" s="152"/>
      <c r="F23" s="152"/>
      <c r="G23" s="292">
        <f>SUM(G15:G22)</f>
        <v>0</v>
      </c>
      <c r="H23" s="289"/>
    </row>
    <row r="24" spans="1:8">
      <c r="A24" s="225"/>
      <c r="B24" s="152"/>
      <c r="C24" s="152"/>
      <c r="D24" s="152"/>
      <c r="E24" s="152"/>
      <c r="F24" s="152"/>
      <c r="G24" s="152"/>
      <c r="H24" s="152"/>
    </row>
    <row r="25" spans="1:8">
      <c r="A25" s="235" t="s">
        <v>250</v>
      </c>
      <c r="B25" s="152"/>
      <c r="C25" s="152"/>
      <c r="D25" s="152" t="s">
        <v>112</v>
      </c>
      <c r="E25" s="152"/>
      <c r="F25" s="152"/>
      <c r="G25" s="152"/>
      <c r="H25" s="152" t="s">
        <v>112</v>
      </c>
    </row>
    <row r="26" spans="1:8">
      <c r="A26" s="225" t="s">
        <v>147</v>
      </c>
      <c r="B26" s="154" t="s">
        <v>111</v>
      </c>
      <c r="C26" s="288">
        <f>3/6</f>
        <v>0.5</v>
      </c>
      <c r="D26" s="289">
        <f>C26/'Food-related Resourses'!C86</f>
        <v>0.01</v>
      </c>
      <c r="E26" s="152"/>
      <c r="F26" s="154" t="s">
        <v>111</v>
      </c>
      <c r="G26" s="292">
        <f>C26*'Calorie Planning Factors'!$B$4</f>
        <v>0</v>
      </c>
      <c r="H26" s="291">
        <f>D26*'Calorie Planning Factors'!$B$4</f>
        <v>0</v>
      </c>
    </row>
    <row r="27" spans="1:8">
      <c r="A27" s="225" t="s">
        <v>148</v>
      </c>
      <c r="B27" s="154" t="s">
        <v>111</v>
      </c>
      <c r="C27" s="288">
        <f>1/6</f>
        <v>0.16666666666666666</v>
      </c>
      <c r="D27" s="293">
        <f>C27/'Food-related Resourses'!C88</f>
        <v>5.0505050505050501E-3</v>
      </c>
      <c r="E27" s="152"/>
      <c r="F27" s="154" t="s">
        <v>111</v>
      </c>
      <c r="G27" s="292">
        <f>C27*'Calorie Planning Factors'!$B$4</f>
        <v>0</v>
      </c>
      <c r="H27" s="291">
        <f>D27*'Calorie Planning Factors'!$B$4</f>
        <v>0</v>
      </c>
    </row>
    <row r="28" spans="1:8">
      <c r="A28" s="225" t="s">
        <v>149</v>
      </c>
      <c r="B28" s="154" t="s">
        <v>111</v>
      </c>
      <c r="C28" s="288">
        <f>1/6</f>
        <v>0.16666666666666666</v>
      </c>
      <c r="D28" s="293">
        <f>C28/'Food-related Resourses'!C89</f>
        <v>5.0505050505050501E-3</v>
      </c>
      <c r="E28" s="152"/>
      <c r="F28" s="154" t="s">
        <v>111</v>
      </c>
      <c r="G28" s="292">
        <f>C28*'Calorie Planning Factors'!$B$4</f>
        <v>0</v>
      </c>
      <c r="H28" s="291">
        <f>D28*'Calorie Planning Factors'!$B$4</f>
        <v>0</v>
      </c>
    </row>
    <row r="29" spans="1:8">
      <c r="A29" s="225" t="s">
        <v>150</v>
      </c>
      <c r="B29" s="154" t="s">
        <v>111</v>
      </c>
      <c r="C29" s="288">
        <f>1/6</f>
        <v>0.16666666666666666</v>
      </c>
      <c r="D29" s="293">
        <f>C29/'Food-related Resourses'!C90</f>
        <v>5.0505050505050501E-3</v>
      </c>
      <c r="E29" s="152"/>
      <c r="F29" s="154" t="s">
        <v>111</v>
      </c>
      <c r="G29" s="292">
        <f>C29*'Calorie Planning Factors'!$B$4</f>
        <v>0</v>
      </c>
      <c r="H29" s="291">
        <f>D29*'Calorie Planning Factors'!$B$4</f>
        <v>0</v>
      </c>
    </row>
    <row r="30" spans="1:8">
      <c r="A30" s="225" t="s">
        <v>151</v>
      </c>
      <c r="B30" s="154" t="s">
        <v>121</v>
      </c>
      <c r="C30" s="288">
        <f>1/6</f>
        <v>0.16666666666666666</v>
      </c>
      <c r="D30" s="152"/>
      <c r="E30" s="152"/>
      <c r="F30" s="154" t="s">
        <v>121</v>
      </c>
      <c r="G30" s="292">
        <f>C30*'Calorie Planning Factors'!$B$4</f>
        <v>0</v>
      </c>
      <c r="H30" s="152"/>
    </row>
    <row r="31" spans="1:8">
      <c r="C31" s="31"/>
    </row>
    <row r="32" spans="1:8" ht="21">
      <c r="A32" s="82" t="s">
        <v>219</v>
      </c>
    </row>
    <row r="33" spans="1:1">
      <c r="A33" t="s">
        <v>221</v>
      </c>
    </row>
    <row r="34" spans="1:1">
      <c r="A34" t="s">
        <v>220</v>
      </c>
    </row>
    <row r="35" spans="1:1">
      <c r="A35" t="s">
        <v>476</v>
      </c>
    </row>
    <row r="36" spans="1:1">
      <c r="A36" t="s">
        <v>482</v>
      </c>
    </row>
    <row r="37" spans="1:1">
      <c r="A37" t="s">
        <v>222</v>
      </c>
    </row>
    <row r="38" spans="1:1">
      <c r="A38" t="s">
        <v>85</v>
      </c>
    </row>
    <row r="39" spans="1:1">
      <c r="A39" t="s">
        <v>223</v>
      </c>
    </row>
    <row r="40" spans="1:1">
      <c r="A40" t="s">
        <v>224</v>
      </c>
    </row>
    <row r="41" spans="1:1">
      <c r="A41" t="s">
        <v>225</v>
      </c>
    </row>
    <row r="42" spans="1:1">
      <c r="A42" t="s">
        <v>481</v>
      </c>
    </row>
    <row r="43" spans="1:1">
      <c r="A43" t="s">
        <v>226</v>
      </c>
    </row>
    <row r="44" spans="1:1">
      <c r="A44" t="s">
        <v>227</v>
      </c>
    </row>
    <row r="45" spans="1:1">
      <c r="A45" t="s">
        <v>228</v>
      </c>
    </row>
    <row r="46" spans="1:1">
      <c r="A46" t="s">
        <v>229</v>
      </c>
    </row>
    <row r="47" spans="1:1">
      <c r="A47" t="s">
        <v>215</v>
      </c>
    </row>
    <row r="48" spans="1:1">
      <c r="A48" t="s">
        <v>216</v>
      </c>
    </row>
    <row r="49" spans="1:1">
      <c r="A49" t="s">
        <v>217</v>
      </c>
    </row>
    <row r="53" spans="1:1" ht="21">
      <c r="A53" s="54" t="s">
        <v>478</v>
      </c>
    </row>
    <row r="54" spans="1:1">
      <c r="A54" t="s">
        <v>579</v>
      </c>
    </row>
    <row r="55" spans="1:1">
      <c r="A55" t="s">
        <v>477</v>
      </c>
    </row>
    <row r="56" spans="1:1">
      <c r="A56" t="s">
        <v>480</v>
      </c>
    </row>
    <row r="57" spans="1:1">
      <c r="A57" t="s">
        <v>580</v>
      </c>
    </row>
    <row r="58" spans="1:1">
      <c r="A58" t="s">
        <v>479</v>
      </c>
    </row>
    <row r="59" spans="1:1">
      <c r="A59" t="s">
        <v>483</v>
      </c>
    </row>
    <row r="60" spans="1:1">
      <c r="A60" t="s">
        <v>484</v>
      </c>
    </row>
  </sheetData>
  <sheetProtection algorithmName="SHA-512" hashValue="S/MO04UBI2vYTl4a2dBKZje2s0elle1QJlRswWqGur+m3QfGGhVvzrgEeDIUy26KWiQxaq7G5JR4hlQ/4oGWCg==" saltValue="zDetdmGkr1/HxVVETDGXQg==" spinCount="100000" sheet="1" objects="1" scenarios="1" selectLockedCells="1" selectUnlockedCells="1"/>
  <mergeCells count="8">
    <mergeCell ref="C13:D13"/>
    <mergeCell ref="G13:H13"/>
    <mergeCell ref="A11:E11"/>
    <mergeCell ref="A1:G1"/>
    <mergeCell ref="A3:G3"/>
    <mergeCell ref="A5:G5"/>
    <mergeCell ref="A6:G6"/>
    <mergeCell ref="A7:G7"/>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7"/>
  <sheetViews>
    <sheetView zoomScale="122" zoomScaleNormal="122" workbookViewId="0">
      <selection activeCell="G107" sqref="G107"/>
    </sheetView>
  </sheetViews>
  <sheetFormatPr defaultColWidth="11.19921875" defaultRowHeight="15.6"/>
  <cols>
    <col min="1" max="1" width="22.296875" customWidth="1"/>
    <col min="2" max="2" width="28.19921875" customWidth="1"/>
    <col min="3" max="3" width="17" customWidth="1"/>
    <col min="4" max="4" width="14.796875" customWidth="1"/>
    <col min="5" max="5" width="14.69921875" customWidth="1"/>
    <col min="6" max="6" width="17" customWidth="1"/>
    <col min="7" max="7" width="17.5" customWidth="1"/>
    <col min="9" max="9" width="13" customWidth="1"/>
    <col min="10" max="10" width="16.5" customWidth="1"/>
  </cols>
  <sheetData>
    <row r="1" spans="1:2" ht="23.4">
      <c r="A1" s="57" t="s">
        <v>218</v>
      </c>
    </row>
    <row r="3" spans="1:2" ht="21">
      <c r="A3" s="83" t="s">
        <v>81</v>
      </c>
      <c r="B3" s="55"/>
    </row>
    <row r="4" spans="1:2">
      <c r="A4" s="59" t="s">
        <v>82</v>
      </c>
    </row>
    <row r="5" spans="1:2">
      <c r="A5" s="58" t="s">
        <v>83</v>
      </c>
    </row>
    <row r="6" spans="1:2">
      <c r="A6" s="58" t="s">
        <v>84</v>
      </c>
    </row>
    <row r="7" spans="1:2">
      <c r="A7" s="59" t="s">
        <v>86</v>
      </c>
    </row>
    <row r="8" spans="1:2">
      <c r="A8" s="60"/>
    </row>
    <row r="9" spans="1:2" ht="21">
      <c r="A9" s="83" t="s">
        <v>195</v>
      </c>
      <c r="B9" s="55"/>
    </row>
    <row r="10" spans="1:2">
      <c r="A10" s="51" t="s">
        <v>199</v>
      </c>
    </row>
    <row r="11" spans="1:2">
      <c r="A11" s="58" t="s">
        <v>196</v>
      </c>
    </row>
    <row r="12" spans="1:2">
      <c r="A12" s="59" t="s">
        <v>197</v>
      </c>
    </row>
    <row r="13" spans="1:2">
      <c r="A13" s="60"/>
    </row>
    <row r="14" spans="1:2">
      <c r="A14" s="52" t="s">
        <v>198</v>
      </c>
    </row>
    <row r="15" spans="1:2">
      <c r="A15" s="59" t="s">
        <v>200</v>
      </c>
    </row>
    <row r="16" spans="1:2">
      <c r="A16" s="59" t="s">
        <v>203</v>
      </c>
    </row>
    <row r="17" spans="1:4">
      <c r="A17" s="59" t="s">
        <v>201</v>
      </c>
    </row>
    <row r="18" spans="1:4">
      <c r="A18" s="59" t="s">
        <v>202</v>
      </c>
    </row>
    <row r="20" spans="1:4">
      <c r="A20" s="114" t="s">
        <v>340</v>
      </c>
    </row>
    <row r="21" spans="1:4">
      <c r="A21" s="500" t="s">
        <v>341</v>
      </c>
      <c r="B21" s="500"/>
      <c r="C21" s="500"/>
    </row>
    <row r="22" spans="1:4">
      <c r="A22" s="63"/>
      <c r="B22" s="63"/>
      <c r="C22" s="63"/>
    </row>
    <row r="23" spans="1:4">
      <c r="A23" s="63"/>
      <c r="B23" s="63"/>
      <c r="C23" s="63"/>
    </row>
    <row r="24" spans="1:4" ht="16.05" customHeight="1"/>
    <row r="25" spans="1:4" ht="28.05" customHeight="1">
      <c r="A25" s="505" t="s">
        <v>219</v>
      </c>
      <c r="B25" s="505"/>
      <c r="C25" s="505"/>
      <c r="D25" s="505"/>
    </row>
    <row r="26" spans="1:4">
      <c r="A26" t="s">
        <v>221</v>
      </c>
    </row>
    <row r="27" spans="1:4">
      <c r="A27" t="s">
        <v>220</v>
      </c>
    </row>
    <row r="28" spans="1:4">
      <c r="A28" t="s">
        <v>222</v>
      </c>
    </row>
    <row r="29" spans="1:4">
      <c r="A29" t="s">
        <v>85</v>
      </c>
    </row>
    <row r="30" spans="1:4">
      <c r="A30" t="s">
        <v>223</v>
      </c>
    </row>
    <row r="31" spans="1:4">
      <c r="A31" t="s">
        <v>224</v>
      </c>
    </row>
    <row r="32" spans="1:4">
      <c r="A32" t="s">
        <v>225</v>
      </c>
    </row>
    <row r="33" spans="1:10">
      <c r="A33" t="s">
        <v>226</v>
      </c>
    </row>
    <row r="34" spans="1:10">
      <c r="A34" t="s">
        <v>227</v>
      </c>
    </row>
    <row r="35" spans="1:10">
      <c r="A35" t="s">
        <v>228</v>
      </c>
    </row>
    <row r="36" spans="1:10">
      <c r="A36" t="s">
        <v>229</v>
      </c>
    </row>
    <row r="37" spans="1:10">
      <c r="A37" t="s">
        <v>215</v>
      </c>
    </row>
    <row r="38" spans="1:10">
      <c r="A38" t="s">
        <v>216</v>
      </c>
    </row>
    <row r="39" spans="1:10">
      <c r="A39" t="s">
        <v>217</v>
      </c>
    </row>
    <row r="40" spans="1:10">
      <c r="A40" t="s">
        <v>514</v>
      </c>
    </row>
    <row r="41" spans="1:10">
      <c r="A41" t="s">
        <v>515</v>
      </c>
    </row>
    <row r="42" spans="1:10">
      <c r="A42" t="s">
        <v>516</v>
      </c>
    </row>
    <row r="43" spans="1:10">
      <c r="A43" t="s">
        <v>517</v>
      </c>
    </row>
    <row r="44" spans="1:10">
      <c r="A44" t="s">
        <v>518</v>
      </c>
    </row>
    <row r="45" spans="1:10">
      <c r="A45" t="s">
        <v>519</v>
      </c>
    </row>
    <row r="48" spans="1:10" ht="58.05" customHeight="1">
      <c r="A48" s="504" t="s">
        <v>251</v>
      </c>
      <c r="B48" s="504"/>
      <c r="F48" s="23" t="s">
        <v>87</v>
      </c>
      <c r="G48" s="22" t="s">
        <v>381</v>
      </c>
      <c r="H48" s="23" t="s">
        <v>385</v>
      </c>
      <c r="I48" s="23" t="s">
        <v>386</v>
      </c>
      <c r="J48" s="22" t="s">
        <v>416</v>
      </c>
    </row>
    <row r="49" spans="1:10" ht="49.05" customHeight="1">
      <c r="A49" s="499" t="s">
        <v>374</v>
      </c>
      <c r="B49" s="470"/>
      <c r="C49" s="470"/>
      <c r="D49" s="470"/>
      <c r="E49" s="470"/>
      <c r="F49" s="13">
        <f>8.19/2000</f>
        <v>4.0949999999999997E-3</v>
      </c>
      <c r="G49" s="17">
        <f>729400/24</f>
        <v>30391.666666666668</v>
      </c>
      <c r="H49" s="15">
        <f>F49*G49</f>
        <v>124.453875</v>
      </c>
      <c r="I49" s="21">
        <f>H49*24</f>
        <v>2986.893</v>
      </c>
      <c r="J49">
        <v>6</v>
      </c>
    </row>
    <row r="51" spans="1:10" ht="21">
      <c r="A51" s="503" t="s">
        <v>214</v>
      </c>
      <c r="B51" s="503"/>
      <c r="F51" s="320">
        <f>73000000*F49*0.7</f>
        <v>209254.5</v>
      </c>
    </row>
    <row r="52" spans="1:10">
      <c r="A52" s="62" t="s">
        <v>205</v>
      </c>
      <c r="B52" s="53"/>
      <c r="F52" s="320">
        <f>F51/52</f>
        <v>4024.125</v>
      </c>
    </row>
    <row r="53" spans="1:10">
      <c r="A53" s="62" t="s">
        <v>206</v>
      </c>
      <c r="B53" s="53"/>
      <c r="F53" s="320">
        <f>F51/365</f>
        <v>573.29999999999995</v>
      </c>
    </row>
    <row r="54" spans="1:10">
      <c r="A54" s="62" t="s">
        <v>207</v>
      </c>
      <c r="B54" s="53"/>
      <c r="F54" s="324">
        <f>31600/F49</f>
        <v>7716727.7167277178</v>
      </c>
    </row>
    <row r="55" spans="1:10">
      <c r="A55" s="62" t="s">
        <v>208</v>
      </c>
      <c r="B55" s="53"/>
    </row>
    <row r="56" spans="1:10">
      <c r="A56" s="62" t="s">
        <v>209</v>
      </c>
      <c r="B56" s="53"/>
    </row>
    <row r="57" spans="1:10">
      <c r="A57" s="62" t="s">
        <v>210</v>
      </c>
      <c r="B57" s="53"/>
    </row>
    <row r="58" spans="1:10">
      <c r="A58" s="62" t="s">
        <v>62</v>
      </c>
      <c r="B58" s="53"/>
    </row>
    <row r="59" spans="1:10">
      <c r="A59" s="62" t="s">
        <v>211</v>
      </c>
      <c r="B59" s="53"/>
    </row>
    <row r="60" spans="1:10">
      <c r="A60" s="62" t="s">
        <v>212</v>
      </c>
      <c r="B60" s="53"/>
    </row>
    <row r="61" spans="1:10">
      <c r="A61" s="62" t="s">
        <v>213</v>
      </c>
      <c r="B61" s="53"/>
    </row>
    <row r="63" spans="1:10" ht="21">
      <c r="A63" s="502" t="s">
        <v>204</v>
      </c>
      <c r="B63" s="502"/>
      <c r="C63" s="6"/>
    </row>
    <row r="64" spans="1:10">
      <c r="B64" s="6"/>
      <c r="C64" s="6"/>
    </row>
    <row r="65" spans="1:4" ht="28.95" customHeight="1">
      <c r="A65" s="35" t="s">
        <v>155</v>
      </c>
      <c r="B65" s="71" t="s">
        <v>504</v>
      </c>
      <c r="C65" s="71" t="s">
        <v>244</v>
      </c>
      <c r="D65" s="71" t="s">
        <v>503</v>
      </c>
    </row>
    <row r="66" spans="1:4">
      <c r="A66" s="53" t="s">
        <v>107</v>
      </c>
      <c r="B66" s="72">
        <v>5</v>
      </c>
      <c r="C66" s="72">
        <v>37</v>
      </c>
    </row>
    <row r="67" spans="1:4">
      <c r="A67" s="53" t="s">
        <v>156</v>
      </c>
      <c r="B67" s="72">
        <v>4.5</v>
      </c>
      <c r="C67" s="72">
        <v>33</v>
      </c>
    </row>
    <row r="68" spans="1:4">
      <c r="A68" s="53" t="s">
        <v>157</v>
      </c>
      <c r="B68" s="72">
        <v>4.3</v>
      </c>
      <c r="C68" s="72">
        <v>33</v>
      </c>
    </row>
    <row r="69" spans="1:4">
      <c r="A69" s="53" t="s">
        <v>510</v>
      </c>
      <c r="B69" s="325">
        <f>(8.33/4)*3</f>
        <v>6.2475000000000005</v>
      </c>
      <c r="C69" s="72">
        <v>41.6</v>
      </c>
    </row>
    <row r="70" spans="1:4">
      <c r="A70" s="53" t="s">
        <v>158</v>
      </c>
      <c r="B70" s="72">
        <v>5</v>
      </c>
      <c r="C70" s="72">
        <v>37</v>
      </c>
    </row>
    <row r="71" spans="1:4">
      <c r="A71" s="53" t="s">
        <v>159</v>
      </c>
      <c r="B71" s="72">
        <v>2.5</v>
      </c>
      <c r="C71" s="72">
        <v>20</v>
      </c>
    </row>
    <row r="72" spans="1:4">
      <c r="A72" s="53" t="s">
        <v>160</v>
      </c>
      <c r="B72" s="72">
        <v>5.3</v>
      </c>
      <c r="C72" s="72">
        <v>36</v>
      </c>
    </row>
    <row r="73" spans="1:4">
      <c r="A73" s="53" t="s">
        <v>243</v>
      </c>
      <c r="B73" s="72">
        <v>3.1</v>
      </c>
      <c r="C73" s="72">
        <v>21</v>
      </c>
    </row>
    <row r="74" spans="1:4">
      <c r="A74" s="53" t="s">
        <v>129</v>
      </c>
      <c r="B74" s="72">
        <v>4.5</v>
      </c>
      <c r="C74" s="72">
        <v>33</v>
      </c>
    </row>
    <row r="75" spans="1:4">
      <c r="A75" s="53"/>
      <c r="B75" s="72"/>
      <c r="C75" s="72"/>
    </row>
    <row r="76" spans="1:4">
      <c r="A76" s="53" t="s">
        <v>161</v>
      </c>
      <c r="B76" s="72">
        <v>5.6</v>
      </c>
      <c r="C76" s="72">
        <v>35</v>
      </c>
    </row>
    <row r="77" spans="1:4">
      <c r="A77" s="53" t="s">
        <v>162</v>
      </c>
      <c r="B77" s="72">
        <v>5.4</v>
      </c>
      <c r="C77" s="72">
        <v>35</v>
      </c>
    </row>
    <row r="78" spans="1:4">
      <c r="A78" s="53" t="s">
        <v>127</v>
      </c>
      <c r="B78" s="72">
        <v>5</v>
      </c>
      <c r="C78" s="72">
        <v>33</v>
      </c>
    </row>
    <row r="79" spans="1:4">
      <c r="A79" s="53" t="s">
        <v>126</v>
      </c>
      <c r="B79" s="72">
        <v>5</v>
      </c>
      <c r="C79" s="72">
        <v>33</v>
      </c>
    </row>
    <row r="80" spans="1:4">
      <c r="A80" s="53" t="s">
        <v>128</v>
      </c>
      <c r="B80" s="72">
        <v>5.5</v>
      </c>
      <c r="C80" s="72">
        <v>35</v>
      </c>
    </row>
    <row r="81" spans="1:4">
      <c r="A81" s="53"/>
      <c r="B81" s="72"/>
      <c r="C81" s="72"/>
    </row>
    <row r="82" spans="1:4">
      <c r="A82" s="53" t="s">
        <v>163</v>
      </c>
      <c r="B82" s="72">
        <v>5.7</v>
      </c>
      <c r="C82" s="72">
        <v>35</v>
      </c>
    </row>
    <row r="83" spans="1:4">
      <c r="A83" s="53" t="s">
        <v>141</v>
      </c>
      <c r="B83" s="72">
        <v>4.42</v>
      </c>
      <c r="C83" s="72">
        <v>33</v>
      </c>
    </row>
    <row r="84" spans="1:4">
      <c r="A84" s="53" t="s">
        <v>11</v>
      </c>
      <c r="B84" s="72">
        <v>3</v>
      </c>
      <c r="C84" s="72">
        <v>29</v>
      </c>
    </row>
    <row r="85" spans="1:4">
      <c r="A85" s="53" t="s">
        <v>164</v>
      </c>
      <c r="B85" s="72">
        <v>2.6</v>
      </c>
      <c r="C85" s="72">
        <v>20</v>
      </c>
    </row>
    <row r="86" spans="1:4">
      <c r="A86" s="53" t="s">
        <v>147</v>
      </c>
      <c r="B86" s="72">
        <v>7.5</v>
      </c>
      <c r="C86" s="72">
        <v>50</v>
      </c>
    </row>
    <row r="88" spans="1:4">
      <c r="A88" s="49" t="s">
        <v>148</v>
      </c>
      <c r="B88" s="72">
        <v>4.5</v>
      </c>
      <c r="C88" s="72">
        <v>33</v>
      </c>
    </row>
    <row r="89" spans="1:4">
      <c r="A89" s="49" t="s">
        <v>149</v>
      </c>
      <c r="B89" s="72">
        <v>4.5</v>
      </c>
      <c r="C89" s="72">
        <v>33</v>
      </c>
    </row>
    <row r="90" spans="1:4">
      <c r="A90" s="49" t="s">
        <v>150</v>
      </c>
      <c r="B90" s="72">
        <v>4.5</v>
      </c>
      <c r="C90" s="72">
        <v>33</v>
      </c>
    </row>
    <row r="91" spans="1:4">
      <c r="A91" s="49" t="s">
        <v>117</v>
      </c>
      <c r="B91" s="325">
        <f>C91/6</f>
        <v>6.416666666666667</v>
      </c>
      <c r="C91" s="72">
        <v>38.5</v>
      </c>
    </row>
    <row r="92" spans="1:4">
      <c r="A92" s="49" t="s">
        <v>500</v>
      </c>
      <c r="B92" s="325">
        <f t="shared" ref="B92:B93" si="0">C92/6</f>
        <v>6.333333333333333</v>
      </c>
      <c r="C92" s="72">
        <v>38</v>
      </c>
    </row>
    <row r="93" spans="1:4">
      <c r="A93" s="49" t="s">
        <v>120</v>
      </c>
      <c r="B93" s="325">
        <f t="shared" si="0"/>
        <v>7.5</v>
      </c>
      <c r="C93" s="72">
        <v>45</v>
      </c>
    </row>
    <row r="94" spans="1:4">
      <c r="A94" s="49"/>
      <c r="B94" s="72"/>
      <c r="C94" s="72"/>
    </row>
    <row r="95" spans="1:4">
      <c r="A95" s="49" t="s">
        <v>502</v>
      </c>
      <c r="B95" s="72"/>
      <c r="C95" s="72"/>
      <c r="D95" s="23">
        <v>8</v>
      </c>
    </row>
    <row r="96" spans="1:4">
      <c r="A96" s="49"/>
      <c r="B96" s="72"/>
      <c r="C96" s="72"/>
      <c r="D96" s="23"/>
    </row>
    <row r="97" spans="1:7">
      <c r="A97" s="49" t="s">
        <v>505</v>
      </c>
      <c r="B97" s="72">
        <v>8</v>
      </c>
      <c r="C97" s="72"/>
      <c r="D97" s="23"/>
    </row>
    <row r="98" spans="1:7">
      <c r="A98" s="49" t="s">
        <v>506</v>
      </c>
      <c r="B98" s="72">
        <v>5.75</v>
      </c>
      <c r="C98" s="72"/>
      <c r="D98" s="23"/>
    </row>
    <row r="99" spans="1:7">
      <c r="A99" s="49" t="s">
        <v>142</v>
      </c>
      <c r="B99" s="325">
        <f>C99/6</f>
        <v>10.5</v>
      </c>
      <c r="C99" s="72">
        <v>63</v>
      </c>
      <c r="D99" s="23"/>
    </row>
    <row r="100" spans="1:7">
      <c r="A100" s="49" t="s">
        <v>143</v>
      </c>
      <c r="B100" s="325">
        <f t="shared" ref="B100:B103" si="1">C100/6</f>
        <v>10</v>
      </c>
      <c r="C100" s="72">
        <v>60</v>
      </c>
      <c r="D100" s="23"/>
    </row>
    <row r="101" spans="1:7">
      <c r="A101" s="49" t="s">
        <v>145</v>
      </c>
      <c r="B101" s="325">
        <f t="shared" si="1"/>
        <v>8.3333333333333339</v>
      </c>
      <c r="C101" s="72">
        <v>50</v>
      </c>
      <c r="D101" s="23"/>
    </row>
    <row r="102" spans="1:7">
      <c r="A102" s="49" t="s">
        <v>144</v>
      </c>
      <c r="B102" s="325">
        <f t="shared" si="1"/>
        <v>9.5500000000000007</v>
      </c>
      <c r="C102" s="72">
        <f>11.46*5</f>
        <v>57.300000000000004</v>
      </c>
      <c r="D102" s="23"/>
    </row>
    <row r="103" spans="1:7">
      <c r="A103" s="49" t="s">
        <v>507</v>
      </c>
      <c r="B103" s="325">
        <f t="shared" si="1"/>
        <v>3.3333333333333335</v>
      </c>
      <c r="C103" s="72">
        <f>(320/5.6)*0.35</f>
        <v>20</v>
      </c>
      <c r="D103" s="23"/>
    </row>
    <row r="104" spans="1:7">
      <c r="A104" s="49"/>
      <c r="B104" s="325"/>
      <c r="C104" s="72"/>
      <c r="D104" s="23"/>
    </row>
    <row r="105" spans="1:7" ht="24">
      <c r="A105" s="501" t="s">
        <v>513</v>
      </c>
      <c r="B105" s="501"/>
      <c r="C105" s="72"/>
      <c r="D105" s="23"/>
    </row>
    <row r="106" spans="1:7" ht="21">
      <c r="A106" s="335"/>
      <c r="B106" s="335"/>
      <c r="C106" s="72"/>
      <c r="D106" s="23"/>
    </row>
    <row r="107" spans="1:7" ht="49.05" customHeight="1">
      <c r="A107" s="326" t="s">
        <v>417</v>
      </c>
      <c r="B107" s="327" t="s">
        <v>401</v>
      </c>
      <c r="C107" s="328" t="s">
        <v>508</v>
      </c>
      <c r="D107" s="211" t="s">
        <v>407</v>
      </c>
      <c r="E107" s="329" t="s">
        <v>421</v>
      </c>
      <c r="F107" s="236" t="s">
        <v>420</v>
      </c>
      <c r="G107" s="236" t="s">
        <v>509</v>
      </c>
    </row>
    <row r="108" spans="1:7" ht="49.05" customHeight="1">
      <c r="A108" s="330" t="s">
        <v>418</v>
      </c>
      <c r="B108" s="331">
        <f>5*4</f>
        <v>20</v>
      </c>
      <c r="C108" s="332">
        <v>1</v>
      </c>
      <c r="D108" s="91" t="s">
        <v>419</v>
      </c>
      <c r="E108" s="90">
        <v>6</v>
      </c>
      <c r="F108" s="333">
        <f>1/1</f>
        <v>1</v>
      </c>
      <c r="G108" s="90">
        <f>E108*F108</f>
        <v>6</v>
      </c>
    </row>
    <row r="109" spans="1:7" ht="31.05" customHeight="1">
      <c r="A109" s="330" t="s">
        <v>406</v>
      </c>
      <c r="B109" s="331">
        <v>3</v>
      </c>
      <c r="C109" s="331">
        <v>0.27</v>
      </c>
      <c r="D109" s="90" t="s">
        <v>408</v>
      </c>
      <c r="E109" s="90">
        <v>10</v>
      </c>
      <c r="F109" s="285">
        <f>1/C109</f>
        <v>3.7037037037037033</v>
      </c>
      <c r="G109" s="334">
        <f>E109*F109</f>
        <v>37.037037037037031</v>
      </c>
    </row>
    <row r="110" spans="1:7" ht="34.049999999999997" customHeight="1">
      <c r="A110" s="330" t="s">
        <v>405</v>
      </c>
      <c r="B110" s="331">
        <v>4</v>
      </c>
      <c r="C110" s="332">
        <v>0.3</v>
      </c>
      <c r="D110" s="90" t="s">
        <v>409</v>
      </c>
      <c r="E110" s="90">
        <v>10</v>
      </c>
      <c r="F110" s="285">
        <f>1/C110</f>
        <v>3.3333333333333335</v>
      </c>
      <c r="G110" s="334">
        <f>E110*F110</f>
        <v>33.333333333333336</v>
      </c>
    </row>
    <row r="111" spans="1:7" ht="21" customHeight="1">
      <c r="A111" s="330" t="s">
        <v>512</v>
      </c>
      <c r="B111" s="331"/>
      <c r="C111" s="332"/>
      <c r="D111" s="90"/>
      <c r="E111" s="90"/>
      <c r="F111" s="285"/>
      <c r="G111" s="334"/>
    </row>
    <row r="113" spans="1:2" ht="21">
      <c r="A113" s="498" t="s">
        <v>520</v>
      </c>
      <c r="B113" s="498"/>
    </row>
    <row r="115" spans="1:2">
      <c r="A115" t="s">
        <v>107</v>
      </c>
    </row>
    <row r="116" spans="1:2">
      <c r="A116" t="s">
        <v>261</v>
      </c>
      <c r="B116">
        <v>60</v>
      </c>
    </row>
    <row r="117" spans="1:2">
      <c r="A117" t="s">
        <v>262</v>
      </c>
      <c r="B117">
        <v>30</v>
      </c>
    </row>
    <row r="119" spans="1:2">
      <c r="A119" t="s">
        <v>259</v>
      </c>
    </row>
    <row r="120" spans="1:2">
      <c r="A120" t="s">
        <v>261</v>
      </c>
      <c r="B120">
        <v>56</v>
      </c>
    </row>
    <row r="121" spans="1:2">
      <c r="A121" t="s">
        <v>262</v>
      </c>
      <c r="B121">
        <v>75</v>
      </c>
    </row>
    <row r="123" spans="1:2">
      <c r="A123" t="s">
        <v>16</v>
      </c>
    </row>
    <row r="124" spans="1:2">
      <c r="A124" t="s">
        <v>263</v>
      </c>
      <c r="B124">
        <v>1000</v>
      </c>
    </row>
    <row r="126" spans="1:2">
      <c r="A126" t="s">
        <v>264</v>
      </c>
    </row>
    <row r="127" spans="1:2">
      <c r="A127" t="s">
        <v>268</v>
      </c>
      <c r="B127" s="84">
        <v>12000</v>
      </c>
    </row>
  </sheetData>
  <sheetProtection algorithmName="SHA-512" hashValue="+xtW3k07lvELzr68v4ySx7hqTu08qQjctCBmD2HbXKlOilfbdzUyX0uY4TVxUJZ6y1eXJ2dNcPKn6hdFkNu6kg==" saltValue="nuT/bqJe+RkJXnUofbljng==" spinCount="100000" sheet="1" objects="1" scenarios="1" selectLockedCells="1" selectUnlockedCells="1"/>
  <mergeCells count="8">
    <mergeCell ref="A113:B113"/>
    <mergeCell ref="A49:E49"/>
    <mergeCell ref="A21:C21"/>
    <mergeCell ref="A105:B105"/>
    <mergeCell ref="A63:B63"/>
    <mergeCell ref="A51:B51"/>
    <mergeCell ref="A48:B48"/>
    <mergeCell ref="A25:D25"/>
  </mergeCells>
  <hyperlinks>
    <hyperlink ref="A5" r:id="rId1"/>
    <hyperlink ref="A6" r:id="rId2"/>
    <hyperlink ref="A49" r:id="rId3"/>
    <hyperlink ref="A11" r:id="rId4"/>
  </hyperlinks>
  <pageMargins left="0.7" right="0.7" top="0.75" bottom="0.75" header="0.3" footer="0.3"/>
  <drawing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0"/>
  <sheetViews>
    <sheetView topLeftCell="A113" zoomScale="80" zoomScaleNormal="80" workbookViewId="0">
      <selection activeCell="G3" sqref="G3"/>
    </sheetView>
  </sheetViews>
  <sheetFormatPr defaultColWidth="11.19921875" defaultRowHeight="15.6"/>
  <cols>
    <col min="1" max="1" width="30.69921875" customWidth="1"/>
    <col min="2" max="2" width="17.19921875" style="23" customWidth="1"/>
    <col min="3" max="4" width="27.69921875" style="23" customWidth="1"/>
    <col min="5" max="5" width="58.69921875" customWidth="1"/>
    <col min="6" max="6" width="36.69921875" customWidth="1"/>
  </cols>
  <sheetData>
    <row r="1" spans="1:7" ht="91.95" customHeight="1">
      <c r="A1" s="506" t="s">
        <v>475</v>
      </c>
      <c r="B1" s="506"/>
      <c r="C1" s="506"/>
      <c r="D1" s="506"/>
      <c r="E1" s="506"/>
      <c r="F1" s="9"/>
      <c r="G1" s="9"/>
    </row>
    <row r="3" spans="1:7" ht="64.05" customHeight="1">
      <c r="A3" s="10" t="s">
        <v>55</v>
      </c>
      <c r="B3" s="10" t="s">
        <v>191</v>
      </c>
      <c r="C3" s="10" t="s">
        <v>194</v>
      </c>
      <c r="D3" s="10" t="s">
        <v>193</v>
      </c>
      <c r="E3" s="10" t="s">
        <v>21</v>
      </c>
      <c r="F3" s="11" t="s">
        <v>2</v>
      </c>
      <c r="G3" s="11"/>
    </row>
    <row r="4" spans="1:7" ht="28.05" customHeight="1">
      <c r="A4" s="1" t="s">
        <v>0</v>
      </c>
      <c r="B4" s="4"/>
      <c r="C4" s="4"/>
      <c r="D4" s="4"/>
      <c r="E4" s="4"/>
      <c r="F4" s="5"/>
    </row>
    <row r="5" spans="1:7">
      <c r="A5" s="27" t="s">
        <v>3</v>
      </c>
      <c r="B5" s="23">
        <v>1</v>
      </c>
      <c r="C5" s="46">
        <v>1312</v>
      </c>
      <c r="D5" s="47"/>
      <c r="E5" t="s">
        <v>192</v>
      </c>
      <c r="F5" t="s">
        <v>20</v>
      </c>
    </row>
    <row r="6" spans="1:7">
      <c r="A6" s="27" t="s">
        <v>4</v>
      </c>
      <c r="B6" s="23">
        <v>1</v>
      </c>
      <c r="C6" s="46">
        <v>1357</v>
      </c>
      <c r="D6" s="47"/>
      <c r="E6" t="s">
        <v>24</v>
      </c>
      <c r="F6" t="s">
        <v>20</v>
      </c>
    </row>
    <row r="7" spans="1:7" ht="18">
      <c r="A7" s="27" t="s">
        <v>311</v>
      </c>
      <c r="B7" s="23">
        <v>1</v>
      </c>
      <c r="C7" s="23">
        <v>777</v>
      </c>
      <c r="D7" s="47"/>
      <c r="E7" t="s">
        <v>23</v>
      </c>
      <c r="F7" t="s">
        <v>22</v>
      </c>
    </row>
    <row r="8" spans="1:7">
      <c r="A8" s="27" t="s">
        <v>307</v>
      </c>
      <c r="B8" s="23">
        <v>1</v>
      </c>
      <c r="C8" s="23">
        <v>777</v>
      </c>
      <c r="D8" s="47"/>
      <c r="E8" t="s">
        <v>308</v>
      </c>
      <c r="F8" t="s">
        <v>22</v>
      </c>
    </row>
    <row r="9" spans="1:7">
      <c r="A9" s="27" t="s">
        <v>8</v>
      </c>
      <c r="B9" s="23">
        <v>1</v>
      </c>
      <c r="C9" s="46">
        <v>1110</v>
      </c>
      <c r="D9" s="47"/>
      <c r="E9" t="s">
        <v>25</v>
      </c>
      <c r="F9" t="s">
        <v>20</v>
      </c>
    </row>
    <row r="10" spans="1:7">
      <c r="A10" s="27" t="s">
        <v>302</v>
      </c>
      <c r="B10" s="23">
        <v>1</v>
      </c>
      <c r="C10" s="47"/>
      <c r="D10" s="23">
        <v>583</v>
      </c>
      <c r="E10" t="s">
        <v>50</v>
      </c>
      <c r="F10" t="s">
        <v>36</v>
      </c>
    </row>
    <row r="11" spans="1:7">
      <c r="A11" s="27" t="s">
        <v>303</v>
      </c>
      <c r="B11" s="23">
        <v>1</v>
      </c>
      <c r="C11" s="66">
        <v>784</v>
      </c>
      <c r="D11" s="23">
        <v>2352</v>
      </c>
      <c r="E11" t="s">
        <v>304</v>
      </c>
      <c r="F11" t="s">
        <v>305</v>
      </c>
    </row>
    <row r="12" spans="1:7">
      <c r="A12" s="27" t="s">
        <v>56</v>
      </c>
      <c r="B12" s="23">
        <v>1</v>
      </c>
      <c r="C12" s="47"/>
      <c r="D12" s="23">
        <v>250</v>
      </c>
      <c r="E12" t="s">
        <v>57</v>
      </c>
      <c r="F12" t="s">
        <v>36</v>
      </c>
    </row>
    <row r="13" spans="1:7">
      <c r="A13" s="27" t="s">
        <v>29</v>
      </c>
      <c r="B13" s="23">
        <v>1</v>
      </c>
      <c r="C13" s="23">
        <v>730</v>
      </c>
      <c r="D13" s="47"/>
      <c r="E13" t="s">
        <v>38</v>
      </c>
      <c r="F13" t="s">
        <v>36</v>
      </c>
    </row>
    <row r="14" spans="1:7">
      <c r="A14" s="27" t="s">
        <v>169</v>
      </c>
      <c r="B14" s="23">
        <v>1</v>
      </c>
      <c r="C14" s="23">
        <v>730</v>
      </c>
      <c r="D14" s="47"/>
      <c r="E14" t="s">
        <v>37</v>
      </c>
      <c r="F14" t="s">
        <v>36</v>
      </c>
    </row>
    <row r="15" spans="1:7">
      <c r="A15" s="27" t="s">
        <v>32</v>
      </c>
      <c r="B15" s="23">
        <v>1</v>
      </c>
      <c r="C15" s="23">
        <v>544</v>
      </c>
      <c r="D15" s="47"/>
      <c r="E15" t="s">
        <v>53</v>
      </c>
      <c r="F15" t="s">
        <v>51</v>
      </c>
    </row>
    <row r="16" spans="1:7">
      <c r="A16" s="27" t="s">
        <v>33</v>
      </c>
      <c r="B16" s="23">
        <v>1</v>
      </c>
      <c r="C16" s="23">
        <v>544</v>
      </c>
      <c r="D16" s="47"/>
      <c r="E16" t="s">
        <v>52</v>
      </c>
      <c r="F16" t="s">
        <v>51</v>
      </c>
    </row>
    <row r="17" spans="1:9">
      <c r="A17" s="27" t="s">
        <v>5</v>
      </c>
      <c r="B17" s="23">
        <v>1</v>
      </c>
      <c r="C17" s="48"/>
      <c r="D17" s="23">
        <v>2500</v>
      </c>
      <c r="E17" t="s">
        <v>27</v>
      </c>
      <c r="F17" t="s">
        <v>26</v>
      </c>
    </row>
    <row r="18" spans="1:9">
      <c r="A18" s="27" t="s">
        <v>6</v>
      </c>
      <c r="B18" s="23">
        <v>1</v>
      </c>
      <c r="C18" s="47"/>
      <c r="D18" s="23">
        <v>1938</v>
      </c>
      <c r="E18" t="s">
        <v>28</v>
      </c>
      <c r="F18" t="s">
        <v>26</v>
      </c>
    </row>
    <row r="19" spans="1:9">
      <c r="A19" s="27" t="s">
        <v>31</v>
      </c>
      <c r="B19" s="23">
        <v>1</v>
      </c>
      <c r="C19" s="23">
        <v>730</v>
      </c>
      <c r="D19" s="47"/>
      <c r="E19" t="s">
        <v>34</v>
      </c>
      <c r="F19" t="s">
        <v>47</v>
      </c>
    </row>
    <row r="20" spans="1:9">
      <c r="A20" s="27" t="s">
        <v>30</v>
      </c>
      <c r="B20" s="23">
        <v>1</v>
      </c>
      <c r="C20" s="23">
        <v>730</v>
      </c>
      <c r="D20" s="47"/>
      <c r="E20" t="s">
        <v>35</v>
      </c>
      <c r="F20" t="s">
        <v>47</v>
      </c>
    </row>
    <row r="21" spans="1:9">
      <c r="A21" s="27" t="s">
        <v>7</v>
      </c>
      <c r="B21" s="23">
        <v>1</v>
      </c>
      <c r="C21" s="23">
        <v>600</v>
      </c>
      <c r="D21" s="47"/>
      <c r="E21" t="s">
        <v>49</v>
      </c>
      <c r="F21" t="s">
        <v>48</v>
      </c>
    </row>
    <row r="22" spans="1:9" ht="19.95" customHeight="1">
      <c r="A22" s="27" t="s">
        <v>322</v>
      </c>
      <c r="C22" s="23">
        <v>1860</v>
      </c>
      <c r="D22" s="47"/>
      <c r="E22" s="24" t="s">
        <v>254</v>
      </c>
      <c r="F22" s="26" t="s">
        <v>253</v>
      </c>
    </row>
    <row r="23" spans="1:9" ht="28.95" customHeight="1">
      <c r="A23" s="27" t="s">
        <v>323</v>
      </c>
      <c r="C23" s="23">
        <v>3000</v>
      </c>
      <c r="D23" s="47"/>
      <c r="E23" s="26" t="s">
        <v>255</v>
      </c>
      <c r="F23" s="26" t="s">
        <v>252</v>
      </c>
    </row>
    <row r="25" spans="1:9" ht="18">
      <c r="A25" t="s">
        <v>324</v>
      </c>
    </row>
    <row r="26" spans="1:9" ht="18">
      <c r="A26" t="s">
        <v>325</v>
      </c>
    </row>
    <row r="27" spans="1:9" ht="18">
      <c r="A27" t="s">
        <v>326</v>
      </c>
    </row>
    <row r="29" spans="1:9" ht="21">
      <c r="A29" s="2" t="s">
        <v>541</v>
      </c>
      <c r="B29" s="7"/>
      <c r="C29" s="7"/>
      <c r="D29" s="7"/>
      <c r="G29" s="35" t="s">
        <v>528</v>
      </c>
      <c r="H29" s="35" t="s">
        <v>532</v>
      </c>
      <c r="I29" s="35" t="s">
        <v>177</v>
      </c>
    </row>
    <row r="30" spans="1:9">
      <c r="A30" s="27" t="s">
        <v>15</v>
      </c>
      <c r="B30" s="23" t="s">
        <v>39</v>
      </c>
      <c r="C30" s="46">
        <v>1648</v>
      </c>
      <c r="D30" s="47"/>
      <c r="E30" t="s">
        <v>42</v>
      </c>
      <c r="G30" s="21">
        <v>26</v>
      </c>
      <c r="H30">
        <v>50</v>
      </c>
      <c r="I30" t="s">
        <v>538</v>
      </c>
    </row>
    <row r="31" spans="1:9">
      <c r="A31" s="27" t="s">
        <v>16</v>
      </c>
      <c r="B31" s="23" t="s">
        <v>39</v>
      </c>
      <c r="C31" s="46">
        <v>1568</v>
      </c>
      <c r="D31" s="47"/>
      <c r="E31" t="s">
        <v>43</v>
      </c>
      <c r="G31" s="21">
        <v>50</v>
      </c>
      <c r="H31">
        <v>50</v>
      </c>
      <c r="I31" t="s">
        <v>538</v>
      </c>
    </row>
    <row r="32" spans="1:9">
      <c r="A32" s="27" t="s">
        <v>17</v>
      </c>
      <c r="B32" s="23" t="s">
        <v>39</v>
      </c>
      <c r="C32" s="46">
        <v>1685</v>
      </c>
      <c r="D32" s="47"/>
      <c r="E32" t="s">
        <v>44</v>
      </c>
      <c r="G32" s="21">
        <f>17.5*2.5</f>
        <v>43.75</v>
      </c>
      <c r="H32">
        <v>50</v>
      </c>
      <c r="I32" t="s">
        <v>111</v>
      </c>
    </row>
    <row r="33" spans="1:9">
      <c r="A33" s="27" t="s">
        <v>18</v>
      </c>
      <c r="B33" s="23" t="s">
        <v>39</v>
      </c>
      <c r="C33" s="46">
        <v>1520</v>
      </c>
      <c r="D33" s="47"/>
      <c r="E33" t="s">
        <v>45</v>
      </c>
      <c r="F33" t="s">
        <v>19</v>
      </c>
      <c r="G33" s="21">
        <v>22</v>
      </c>
      <c r="H33">
        <v>40</v>
      </c>
      <c r="I33" t="s">
        <v>111</v>
      </c>
    </row>
    <row r="34" spans="1:9">
      <c r="A34" s="27" t="s">
        <v>63</v>
      </c>
      <c r="B34" s="23" t="s">
        <v>39</v>
      </c>
      <c r="C34" s="46">
        <v>1656</v>
      </c>
      <c r="D34" s="47"/>
      <c r="E34" t="s">
        <v>489</v>
      </c>
      <c r="F34" t="s">
        <v>183</v>
      </c>
      <c r="G34" s="21"/>
    </row>
    <row r="35" spans="1:9">
      <c r="A35" s="27" t="s">
        <v>108</v>
      </c>
      <c r="B35" s="23" t="s">
        <v>39</v>
      </c>
      <c r="C35" s="46">
        <v>1765</v>
      </c>
      <c r="D35" s="47"/>
      <c r="E35" t="s">
        <v>490</v>
      </c>
      <c r="G35" s="21">
        <v>57</v>
      </c>
      <c r="H35">
        <v>50</v>
      </c>
      <c r="I35" t="s">
        <v>538</v>
      </c>
    </row>
    <row r="36" spans="1:9">
      <c r="A36" s="27" t="s">
        <v>109</v>
      </c>
      <c r="B36" s="23" t="s">
        <v>186</v>
      </c>
      <c r="C36" s="46">
        <v>1651</v>
      </c>
      <c r="D36" s="47"/>
      <c r="E36" t="s">
        <v>491</v>
      </c>
      <c r="G36" s="21">
        <v>23</v>
      </c>
      <c r="H36">
        <v>50</v>
      </c>
      <c r="I36" t="s">
        <v>538</v>
      </c>
    </row>
    <row r="37" spans="1:9">
      <c r="A37" s="27" t="s">
        <v>110</v>
      </c>
      <c r="B37" s="23" t="s">
        <v>186</v>
      </c>
      <c r="C37" s="46">
        <v>1679</v>
      </c>
      <c r="D37" s="47"/>
      <c r="E37" t="s">
        <v>492</v>
      </c>
      <c r="G37" s="21">
        <v>20.5</v>
      </c>
      <c r="H37">
        <v>50</v>
      </c>
      <c r="I37" t="s">
        <v>538</v>
      </c>
    </row>
    <row r="38" spans="1:9">
      <c r="A38" s="27" t="s">
        <v>128</v>
      </c>
      <c r="B38" s="23" t="s">
        <v>39</v>
      </c>
      <c r="C38" s="46">
        <v>980</v>
      </c>
      <c r="D38" s="47"/>
      <c r="G38" s="21">
        <f>2.5*25</f>
        <v>62.5</v>
      </c>
      <c r="H38">
        <v>50</v>
      </c>
      <c r="I38" t="s">
        <v>111</v>
      </c>
    </row>
    <row r="39" spans="1:9">
      <c r="A39" s="27" t="s">
        <v>129</v>
      </c>
      <c r="C39" s="46"/>
      <c r="D39" s="47"/>
      <c r="G39" s="21">
        <v>80</v>
      </c>
      <c r="H39">
        <v>50</v>
      </c>
      <c r="I39" t="s">
        <v>111</v>
      </c>
    </row>
    <row r="40" spans="1:9">
      <c r="A40" s="27" t="s">
        <v>542</v>
      </c>
      <c r="C40" s="46"/>
      <c r="D40" s="47"/>
      <c r="G40" s="21">
        <v>29</v>
      </c>
      <c r="H40">
        <v>20</v>
      </c>
      <c r="I40" t="s">
        <v>111</v>
      </c>
    </row>
    <row r="41" spans="1:9">
      <c r="A41" s="27" t="s">
        <v>543</v>
      </c>
      <c r="C41" s="46"/>
      <c r="D41" s="47"/>
      <c r="G41" s="21">
        <v>17</v>
      </c>
      <c r="H41">
        <v>20</v>
      </c>
      <c r="I41" t="s">
        <v>111</v>
      </c>
    </row>
    <row r="42" spans="1:9">
      <c r="A42" s="27" t="s">
        <v>544</v>
      </c>
      <c r="C42" s="46"/>
      <c r="D42" s="47"/>
      <c r="G42" s="21">
        <v>25</v>
      </c>
      <c r="H42">
        <v>40</v>
      </c>
      <c r="I42" t="s">
        <v>111</v>
      </c>
    </row>
    <row r="43" spans="1:9">
      <c r="D43" s="47"/>
      <c r="G43" s="21"/>
    </row>
    <row r="44" spans="1:9" ht="21">
      <c r="A44" s="8" t="s">
        <v>9</v>
      </c>
      <c r="B44" s="7"/>
      <c r="C44" s="7"/>
      <c r="D44" s="50"/>
    </row>
    <row r="45" spans="1:9">
      <c r="A45" t="s">
        <v>14</v>
      </c>
      <c r="B45" s="23">
        <v>1</v>
      </c>
      <c r="C45" s="47"/>
      <c r="D45" s="23">
        <v>80</v>
      </c>
      <c r="F45" t="s">
        <v>46</v>
      </c>
    </row>
    <row r="46" spans="1:9">
      <c r="A46" t="s">
        <v>10</v>
      </c>
      <c r="B46" s="23" t="s">
        <v>40</v>
      </c>
      <c r="C46" s="47"/>
      <c r="D46" s="23">
        <v>672</v>
      </c>
      <c r="E46" t="s">
        <v>54</v>
      </c>
      <c r="F46" t="s">
        <v>41</v>
      </c>
    </row>
    <row r="47" spans="1:9">
      <c r="A47" t="s">
        <v>11</v>
      </c>
      <c r="B47" s="23" t="s">
        <v>39</v>
      </c>
      <c r="C47" s="46">
        <v>2205</v>
      </c>
      <c r="D47" s="47"/>
      <c r="G47" s="21">
        <v>185</v>
      </c>
      <c r="H47">
        <v>50</v>
      </c>
      <c r="I47" t="s">
        <v>538</v>
      </c>
    </row>
    <row r="48" spans="1:9">
      <c r="A48" t="s">
        <v>12</v>
      </c>
      <c r="B48" s="23" t="s">
        <v>39</v>
      </c>
      <c r="C48" s="46">
        <v>1594</v>
      </c>
      <c r="D48" s="47"/>
      <c r="G48" s="21">
        <v>600</v>
      </c>
      <c r="H48">
        <v>50</v>
      </c>
      <c r="I48" t="s">
        <v>111</v>
      </c>
    </row>
    <row r="49" spans="1:9">
      <c r="A49" t="s">
        <v>534</v>
      </c>
      <c r="C49" s="46"/>
      <c r="D49" s="47"/>
      <c r="G49" s="21">
        <v>34.22</v>
      </c>
      <c r="H49">
        <v>24</v>
      </c>
      <c r="I49" t="s">
        <v>134</v>
      </c>
    </row>
    <row r="50" spans="1:9">
      <c r="A50" t="s">
        <v>546</v>
      </c>
      <c r="C50" s="46"/>
      <c r="D50" s="47"/>
      <c r="G50" s="21">
        <v>132</v>
      </c>
      <c r="H50">
        <v>25</v>
      </c>
      <c r="I50" t="s">
        <v>111</v>
      </c>
    </row>
    <row r="51" spans="1:9">
      <c r="C51" s="46"/>
      <c r="D51" s="47"/>
      <c r="G51" s="21"/>
    </row>
    <row r="52" spans="1:9" ht="21">
      <c r="A52" s="1" t="s">
        <v>533</v>
      </c>
      <c r="C52" s="46"/>
      <c r="D52" s="47"/>
      <c r="G52" s="21"/>
    </row>
    <row r="53" spans="1:9">
      <c r="A53" s="27" t="s">
        <v>116</v>
      </c>
      <c r="C53" s="46"/>
      <c r="D53" s="47"/>
      <c r="G53" s="21">
        <f>2.3*50.5</f>
        <v>116.14999999999999</v>
      </c>
      <c r="H53">
        <v>5</v>
      </c>
      <c r="I53" t="s">
        <v>121</v>
      </c>
    </row>
    <row r="54" spans="1:9">
      <c r="A54" s="27" t="s">
        <v>117</v>
      </c>
      <c r="C54" s="46"/>
      <c r="D54" s="47"/>
      <c r="G54" s="21">
        <v>42</v>
      </c>
      <c r="H54">
        <v>35</v>
      </c>
      <c r="I54" t="s">
        <v>111</v>
      </c>
    </row>
    <row r="55" spans="1:9">
      <c r="A55" s="27" t="s">
        <v>118</v>
      </c>
      <c r="C55" s="46"/>
      <c r="D55" s="47"/>
      <c r="G55" s="21">
        <v>66.5</v>
      </c>
      <c r="H55">
        <v>1</v>
      </c>
      <c r="I55" t="s">
        <v>121</v>
      </c>
    </row>
    <row r="56" spans="1:9">
      <c r="A56" s="27" t="s">
        <v>119</v>
      </c>
      <c r="C56" s="46"/>
      <c r="D56" s="47"/>
      <c r="G56">
        <v>93.5</v>
      </c>
      <c r="H56" s="31">
        <f>30/8.5</f>
        <v>3.5294117647058822</v>
      </c>
      <c r="I56" t="s">
        <v>121</v>
      </c>
    </row>
    <row r="57" spans="1:9">
      <c r="A57" s="27" t="s">
        <v>13</v>
      </c>
      <c r="B57" s="23" t="s">
        <v>39</v>
      </c>
      <c r="C57" s="46">
        <v>1440</v>
      </c>
      <c r="D57" s="348"/>
      <c r="E57" s="27"/>
      <c r="F57" s="27"/>
      <c r="G57" s="349">
        <v>43</v>
      </c>
      <c r="H57" s="27">
        <v>2</v>
      </c>
      <c r="I57" s="27" t="s">
        <v>111</v>
      </c>
    </row>
    <row r="58" spans="1:9">
      <c r="A58" s="27" t="s">
        <v>120</v>
      </c>
      <c r="B58" s="23" t="s">
        <v>186</v>
      </c>
      <c r="C58" s="46">
        <v>2823</v>
      </c>
      <c r="D58" s="47"/>
      <c r="G58" s="172">
        <v>8.5</v>
      </c>
      <c r="H58">
        <v>10</v>
      </c>
      <c r="I58" t="s">
        <v>111</v>
      </c>
    </row>
    <row r="59" spans="1:9">
      <c r="A59" s="27" t="s">
        <v>266</v>
      </c>
      <c r="C59" s="46"/>
      <c r="D59" s="47"/>
      <c r="G59" s="21">
        <v>46</v>
      </c>
      <c r="H59">
        <v>30</v>
      </c>
      <c r="I59" t="s">
        <v>111</v>
      </c>
    </row>
    <row r="60" spans="1:9">
      <c r="C60" s="46"/>
      <c r="D60" s="47"/>
      <c r="G60" s="21"/>
    </row>
    <row r="61" spans="1:9" ht="21">
      <c r="A61" s="8" t="s">
        <v>539</v>
      </c>
      <c r="C61" s="46"/>
      <c r="D61" s="47"/>
      <c r="G61" s="21"/>
    </row>
    <row r="62" spans="1:9">
      <c r="A62" s="27" t="s">
        <v>138</v>
      </c>
      <c r="C62" s="46"/>
      <c r="D62" s="47"/>
      <c r="G62" s="21">
        <v>30</v>
      </c>
      <c r="H62">
        <v>50</v>
      </c>
      <c r="I62" t="s">
        <v>111</v>
      </c>
    </row>
    <row r="63" spans="1:9">
      <c r="A63" s="27" t="s">
        <v>139</v>
      </c>
      <c r="C63" s="46"/>
      <c r="D63" s="47"/>
      <c r="G63" s="21">
        <v>48</v>
      </c>
      <c r="H63">
        <v>48</v>
      </c>
      <c r="I63" t="s">
        <v>111</v>
      </c>
    </row>
    <row r="64" spans="1:9">
      <c r="A64" s="27" t="s">
        <v>140</v>
      </c>
      <c r="C64" s="46"/>
      <c r="D64" s="47"/>
      <c r="G64" s="21">
        <f>8*2.5</f>
        <v>20</v>
      </c>
      <c r="H64">
        <v>5</v>
      </c>
      <c r="I64" t="s">
        <v>111</v>
      </c>
    </row>
    <row r="65" spans="1:9">
      <c r="A65" s="27" t="s">
        <v>141</v>
      </c>
      <c r="C65" s="46"/>
      <c r="D65" s="47"/>
      <c r="G65" s="21">
        <v>40</v>
      </c>
      <c r="H65">
        <v>50</v>
      </c>
      <c r="I65" t="s">
        <v>111</v>
      </c>
    </row>
    <row r="66" spans="1:9">
      <c r="A66" s="27" t="s">
        <v>142</v>
      </c>
      <c r="C66" s="46"/>
      <c r="D66" s="47"/>
      <c r="G66" s="21">
        <v>41.6</v>
      </c>
      <c r="H66">
        <v>57</v>
      </c>
      <c r="I66" t="s">
        <v>111</v>
      </c>
    </row>
    <row r="67" spans="1:9">
      <c r="A67" s="27" t="s">
        <v>143</v>
      </c>
      <c r="C67" s="46"/>
      <c r="D67" s="47"/>
      <c r="G67" s="21">
        <v>187</v>
      </c>
      <c r="H67">
        <v>60</v>
      </c>
      <c r="I67" t="s">
        <v>111</v>
      </c>
    </row>
    <row r="68" spans="1:9">
      <c r="A68" s="27" t="s">
        <v>144</v>
      </c>
      <c r="C68" s="46"/>
      <c r="D68" s="47"/>
      <c r="G68" s="21">
        <v>38.76</v>
      </c>
      <c r="H68">
        <v>57</v>
      </c>
      <c r="I68" t="s">
        <v>111</v>
      </c>
    </row>
    <row r="69" spans="1:9">
      <c r="A69" s="27" t="s">
        <v>145</v>
      </c>
      <c r="C69" s="46"/>
      <c r="D69" s="47"/>
      <c r="G69" s="21">
        <v>98</v>
      </c>
      <c r="H69">
        <v>3</v>
      </c>
      <c r="I69" t="s">
        <v>111</v>
      </c>
    </row>
    <row r="70" spans="1:9">
      <c r="C70" s="46"/>
      <c r="D70" s="47"/>
      <c r="G70" s="21"/>
    </row>
    <row r="71" spans="1:9" ht="21">
      <c r="A71" s="3" t="s">
        <v>535</v>
      </c>
      <c r="C71" s="46"/>
      <c r="D71" s="47"/>
      <c r="G71" s="21"/>
    </row>
    <row r="72" spans="1:9">
      <c r="A72" s="27" t="s">
        <v>147</v>
      </c>
      <c r="C72" s="46"/>
      <c r="D72" s="47"/>
      <c r="G72" s="21">
        <v>19</v>
      </c>
      <c r="H72">
        <v>50</v>
      </c>
      <c r="I72" t="s">
        <v>111</v>
      </c>
    </row>
    <row r="73" spans="1:9">
      <c r="A73" s="27" t="s">
        <v>148</v>
      </c>
      <c r="C73" s="46"/>
      <c r="D73" s="47"/>
      <c r="G73" s="21">
        <v>56</v>
      </c>
      <c r="H73">
        <v>22</v>
      </c>
      <c r="I73" t="s">
        <v>111</v>
      </c>
    </row>
    <row r="74" spans="1:9">
      <c r="A74" s="27" t="s">
        <v>149</v>
      </c>
      <c r="C74" s="46"/>
      <c r="D74" s="47"/>
      <c r="G74" s="21">
        <v>92.5</v>
      </c>
      <c r="H74">
        <v>40</v>
      </c>
      <c r="I74" t="s">
        <v>111</v>
      </c>
    </row>
    <row r="75" spans="1:9">
      <c r="A75" s="27" t="s">
        <v>150</v>
      </c>
      <c r="C75" s="46"/>
      <c r="D75" s="47"/>
      <c r="G75" s="21">
        <v>40</v>
      </c>
      <c r="H75">
        <v>50</v>
      </c>
      <c r="I75" t="s">
        <v>111</v>
      </c>
    </row>
    <row r="76" spans="1:9">
      <c r="A76" s="27" t="s">
        <v>151</v>
      </c>
      <c r="C76" s="46"/>
      <c r="D76" s="47"/>
      <c r="G76" s="21">
        <v>2.29</v>
      </c>
      <c r="H76">
        <v>1</v>
      </c>
      <c r="I76" t="s">
        <v>121</v>
      </c>
    </row>
    <row r="77" spans="1:9">
      <c r="C77" s="46"/>
      <c r="D77" s="47"/>
      <c r="G77" s="21"/>
    </row>
    <row r="78" spans="1:9" ht="21">
      <c r="A78" s="507" t="s">
        <v>545</v>
      </c>
      <c r="B78" s="507"/>
      <c r="C78" s="46"/>
      <c r="D78" s="47"/>
      <c r="G78" s="21"/>
    </row>
    <row r="79" spans="1:9">
      <c r="A79" s="27" t="s">
        <v>536</v>
      </c>
      <c r="C79" s="46"/>
      <c r="D79" s="47"/>
      <c r="G79" s="172">
        <v>7.5</v>
      </c>
      <c r="H79">
        <v>0.75</v>
      </c>
      <c r="I79" t="s">
        <v>121</v>
      </c>
    </row>
    <row r="80" spans="1:9">
      <c r="A80" s="27" t="s">
        <v>537</v>
      </c>
      <c r="C80" s="46"/>
      <c r="D80" s="47"/>
      <c r="G80" s="172">
        <v>4.5</v>
      </c>
      <c r="H80">
        <v>0.75</v>
      </c>
      <c r="I80" t="s">
        <v>121</v>
      </c>
    </row>
    <row r="81" spans="1:9">
      <c r="A81" s="27" t="s">
        <v>154</v>
      </c>
      <c r="C81" s="46"/>
      <c r="D81" s="47"/>
      <c r="G81" s="21">
        <v>42</v>
      </c>
      <c r="H81">
        <v>5</v>
      </c>
      <c r="I81" t="s">
        <v>111</v>
      </c>
    </row>
    <row r="83" spans="1:9" ht="21">
      <c r="A83" s="507" t="s">
        <v>550</v>
      </c>
      <c r="B83" s="507"/>
      <c r="C83" s="23" t="s">
        <v>561</v>
      </c>
      <c r="D83" s="23" t="s">
        <v>562</v>
      </c>
    </row>
    <row r="84" spans="1:9">
      <c r="A84" s="27" t="s">
        <v>551</v>
      </c>
      <c r="C84" s="80">
        <f>14*170*12</f>
        <v>28560</v>
      </c>
      <c r="D84" s="363">
        <f>C84/H84</f>
        <v>1360</v>
      </c>
      <c r="G84" s="21">
        <v>169</v>
      </c>
      <c r="H84">
        <v>21</v>
      </c>
      <c r="I84" t="s">
        <v>111</v>
      </c>
    </row>
    <row r="85" spans="1:9">
      <c r="A85" s="27" t="s">
        <v>5</v>
      </c>
      <c r="C85" s="80">
        <f>14*150*12</f>
        <v>25200</v>
      </c>
      <c r="D85" s="363">
        <f t="shared" ref="D85:D86" si="0">C85/H85</f>
        <v>1200</v>
      </c>
      <c r="G85" s="21">
        <v>169</v>
      </c>
      <c r="H85">
        <v>21</v>
      </c>
      <c r="I85" t="s">
        <v>111</v>
      </c>
    </row>
    <row r="86" spans="1:9">
      <c r="A86" s="27" t="s">
        <v>552</v>
      </c>
      <c r="C86" s="80">
        <f>14*170*12</f>
        <v>28560</v>
      </c>
      <c r="D86" s="363">
        <f t="shared" si="0"/>
        <v>1360</v>
      </c>
      <c r="G86" s="21">
        <v>194</v>
      </c>
      <c r="H86">
        <v>21</v>
      </c>
      <c r="I86" t="s">
        <v>111</v>
      </c>
    </row>
    <row r="88" spans="1:9" ht="21">
      <c r="A88" s="3" t="s">
        <v>540</v>
      </c>
    </row>
    <row r="89" spans="1:9">
      <c r="A89" s="27" t="s">
        <v>73</v>
      </c>
      <c r="B89" s="23" t="s">
        <v>76</v>
      </c>
      <c r="C89" s="47"/>
      <c r="D89" s="23">
        <v>130</v>
      </c>
    </row>
    <row r="90" spans="1:9">
      <c r="A90" s="27" t="s">
        <v>80</v>
      </c>
      <c r="B90" s="23" t="s">
        <v>77</v>
      </c>
      <c r="C90" s="47"/>
      <c r="D90" s="23">
        <v>200</v>
      </c>
    </row>
    <row r="91" spans="1:9">
      <c r="A91" s="27" t="s">
        <v>79</v>
      </c>
      <c r="B91" s="23" t="s">
        <v>77</v>
      </c>
      <c r="C91" s="47"/>
      <c r="D91" s="23">
        <v>500</v>
      </c>
    </row>
    <row r="92" spans="1:9">
      <c r="A92" s="27" t="s">
        <v>74</v>
      </c>
      <c r="B92" s="23" t="s">
        <v>78</v>
      </c>
      <c r="C92" s="47"/>
      <c r="D92" s="23">
        <v>50</v>
      </c>
    </row>
    <row r="93" spans="1:9">
      <c r="A93" s="27" t="s">
        <v>75</v>
      </c>
      <c r="B93" s="23" t="s">
        <v>77</v>
      </c>
      <c r="C93" s="47"/>
      <c r="D93" s="23">
        <v>1440</v>
      </c>
    </row>
    <row r="94" spans="1:9">
      <c r="A94" s="27"/>
    </row>
    <row r="95" spans="1:9">
      <c r="A95" s="27" t="s">
        <v>65</v>
      </c>
      <c r="B95" s="23" t="s">
        <v>70</v>
      </c>
      <c r="C95" s="47"/>
      <c r="D95" s="23">
        <v>25</v>
      </c>
    </row>
    <row r="96" spans="1:9">
      <c r="A96" s="27" t="s">
        <v>59</v>
      </c>
      <c r="B96" s="23" t="s">
        <v>70</v>
      </c>
      <c r="C96" s="47"/>
      <c r="D96" s="23">
        <v>30</v>
      </c>
    </row>
    <row r="97" spans="1:9">
      <c r="A97" s="27" t="s">
        <v>60</v>
      </c>
      <c r="B97" s="23" t="s">
        <v>70</v>
      </c>
      <c r="C97" s="47"/>
      <c r="D97" s="23">
        <v>90</v>
      </c>
    </row>
    <row r="98" spans="1:9">
      <c r="A98" s="27" t="s">
        <v>63</v>
      </c>
      <c r="B98" s="23" t="s">
        <v>70</v>
      </c>
      <c r="C98" s="47"/>
      <c r="D98" s="23">
        <v>90</v>
      </c>
    </row>
    <row r="99" spans="1:9">
      <c r="A99" s="27" t="s">
        <v>61</v>
      </c>
      <c r="B99" s="23" t="s">
        <v>72</v>
      </c>
      <c r="C99" s="47"/>
      <c r="D99" s="23">
        <v>27</v>
      </c>
    </row>
    <row r="100" spans="1:9">
      <c r="A100" s="27" t="s">
        <v>62</v>
      </c>
      <c r="B100" s="23" t="s">
        <v>70</v>
      </c>
      <c r="C100" s="47"/>
      <c r="D100" s="23">
        <v>110</v>
      </c>
    </row>
    <row r="101" spans="1:9">
      <c r="A101" s="27" t="s">
        <v>64</v>
      </c>
      <c r="B101" s="23" t="s">
        <v>71</v>
      </c>
      <c r="C101" s="47"/>
      <c r="D101" s="23">
        <v>20</v>
      </c>
    </row>
    <row r="102" spans="1:9">
      <c r="A102" s="27" t="s">
        <v>66</v>
      </c>
      <c r="B102" s="23" t="s">
        <v>70</v>
      </c>
      <c r="C102" s="47"/>
      <c r="D102" s="23">
        <v>45</v>
      </c>
    </row>
    <row r="103" spans="1:9">
      <c r="A103" s="27" t="s">
        <v>67</v>
      </c>
      <c r="B103" s="23" t="s">
        <v>70</v>
      </c>
      <c r="C103" s="47"/>
      <c r="D103" s="23">
        <v>100</v>
      </c>
    </row>
    <row r="104" spans="1:9">
      <c r="A104" s="27" t="s">
        <v>68</v>
      </c>
      <c r="B104" s="23" t="s">
        <v>70</v>
      </c>
      <c r="C104" s="47"/>
      <c r="D104" s="23">
        <v>25</v>
      </c>
    </row>
    <row r="105" spans="1:9">
      <c r="A105" s="27" t="s">
        <v>69</v>
      </c>
      <c r="B105" s="23" t="s">
        <v>70</v>
      </c>
      <c r="C105" s="47"/>
      <c r="D105" s="23">
        <v>40</v>
      </c>
    </row>
    <row r="106" spans="1:9">
      <c r="A106" s="27"/>
    </row>
    <row r="107" spans="1:9">
      <c r="A107" s="27" t="s">
        <v>187</v>
      </c>
      <c r="B107" s="23" t="s">
        <v>186</v>
      </c>
      <c r="C107" s="23">
        <v>294</v>
      </c>
      <c r="D107" s="47"/>
    </row>
    <row r="108" spans="1:9">
      <c r="A108" s="27" t="s">
        <v>188</v>
      </c>
      <c r="B108" s="23" t="s">
        <v>186</v>
      </c>
      <c r="C108" s="23">
        <v>115</v>
      </c>
      <c r="D108" s="47"/>
    </row>
    <row r="109" spans="1:9">
      <c r="D109" s="66"/>
    </row>
    <row r="110" spans="1:9" ht="21">
      <c r="A110" s="2" t="s">
        <v>566</v>
      </c>
      <c r="D110" s="66"/>
    </row>
    <row r="111" spans="1:9">
      <c r="A111" s="27" t="s">
        <v>567</v>
      </c>
      <c r="D111" s="66"/>
      <c r="G111" s="21">
        <v>144</v>
      </c>
      <c r="H111">
        <v>25</v>
      </c>
      <c r="I111" t="s">
        <v>111</v>
      </c>
    </row>
    <row r="112" spans="1:9">
      <c r="A112" s="27" t="s">
        <v>569</v>
      </c>
      <c r="D112" s="66"/>
      <c r="G112" s="21">
        <v>76</v>
      </c>
      <c r="H112">
        <v>25</v>
      </c>
      <c r="I112" t="s">
        <v>111</v>
      </c>
    </row>
    <row r="113" spans="1:9">
      <c r="A113" s="27" t="s">
        <v>570</v>
      </c>
      <c r="D113" s="66"/>
      <c r="G113" s="21">
        <v>84</v>
      </c>
      <c r="H113">
        <v>25</v>
      </c>
      <c r="I113" t="s">
        <v>111</v>
      </c>
    </row>
    <row r="114" spans="1:9">
      <c r="A114" s="27" t="s">
        <v>568</v>
      </c>
      <c r="D114" s="66"/>
      <c r="G114" s="21">
        <v>114</v>
      </c>
      <c r="H114">
        <v>1000</v>
      </c>
      <c r="I114" t="s">
        <v>571</v>
      </c>
    </row>
    <row r="115" spans="1:9">
      <c r="A115" s="27"/>
      <c r="D115" s="66"/>
    </row>
    <row r="116" spans="1:9">
      <c r="D116" s="47"/>
    </row>
    <row r="117" spans="1:9" ht="21">
      <c r="A117" s="2" t="s">
        <v>529</v>
      </c>
      <c r="D117" s="47"/>
    </row>
    <row r="118" spans="1:9">
      <c r="D118" s="47"/>
    </row>
    <row r="119" spans="1:9">
      <c r="D119" s="47"/>
    </row>
    <row r="120" spans="1:9">
      <c r="A120" s="27" t="s">
        <v>523</v>
      </c>
      <c r="B120" s="23" t="s">
        <v>524</v>
      </c>
      <c r="C120" s="345">
        <v>400</v>
      </c>
      <c r="D120" s="344">
        <v>13280</v>
      </c>
    </row>
    <row r="121" spans="1:9">
      <c r="A121" s="27" t="s">
        <v>525</v>
      </c>
      <c r="B121" s="23" t="s">
        <v>527</v>
      </c>
      <c r="C121" s="345">
        <v>30</v>
      </c>
      <c r="D121" s="344">
        <v>4560</v>
      </c>
    </row>
    <row r="122" spans="1:9">
      <c r="A122" s="27" t="s">
        <v>526</v>
      </c>
      <c r="B122" s="23" t="s">
        <v>527</v>
      </c>
      <c r="C122" s="345">
        <v>38</v>
      </c>
      <c r="D122" s="344">
        <v>4200</v>
      </c>
    </row>
    <row r="123" spans="1:9">
      <c r="A123" s="27" t="s">
        <v>440</v>
      </c>
      <c r="B123" s="23">
        <v>1250</v>
      </c>
    </row>
    <row r="124" spans="1:9">
      <c r="D124" s="47"/>
    </row>
    <row r="125" spans="1:9" ht="24">
      <c r="A125" s="12" t="s">
        <v>327</v>
      </c>
    </row>
    <row r="126" spans="1:9" ht="37.049999999999997" customHeight="1">
      <c r="A126" s="470" t="s">
        <v>530</v>
      </c>
      <c r="B126" s="470"/>
      <c r="C126" s="116">
        <f>((185*3000)+(90*2600)+(90*2200))/365</f>
        <v>2704.1095890410961</v>
      </c>
    </row>
    <row r="127" spans="1:9" ht="30" customHeight="1">
      <c r="A127" s="470" t="s">
        <v>531</v>
      </c>
      <c r="B127" s="470"/>
      <c r="C127" s="116">
        <f>((185*2200)+(90*2000)+(90*1800))/365</f>
        <v>2052.0547945205481</v>
      </c>
    </row>
    <row r="130" spans="4:4" ht="21">
      <c r="D130" s="32"/>
    </row>
    <row r="131" spans="4:4">
      <c r="D131"/>
    </row>
    <row r="132" spans="4:4" ht="20.399999999999999">
      <c r="D132" s="33"/>
    </row>
    <row r="133" spans="4:4" ht="20.399999999999999">
      <c r="D133" s="33"/>
    </row>
    <row r="134" spans="4:4" ht="20.399999999999999">
      <c r="D134" s="33"/>
    </row>
    <row r="135" spans="4:4" ht="20.399999999999999">
      <c r="D135" s="33"/>
    </row>
    <row r="136" spans="4:4" ht="20.399999999999999">
      <c r="D136" s="33"/>
    </row>
    <row r="137" spans="4:4" ht="20.399999999999999">
      <c r="D137" s="33"/>
    </row>
    <row r="138" spans="4:4" ht="20.399999999999999">
      <c r="D138" s="33"/>
    </row>
    <row r="139" spans="4:4" ht="20.399999999999999">
      <c r="D139" s="33"/>
    </row>
    <row r="140" spans="4:4">
      <c r="D140"/>
    </row>
    <row r="141" spans="4:4" ht="20.399999999999999">
      <c r="D141" s="33"/>
    </row>
    <row r="142" spans="4:4" ht="20.399999999999999">
      <c r="D142" s="33"/>
    </row>
    <row r="143" spans="4:4" ht="20.399999999999999">
      <c r="D143" s="33"/>
    </row>
    <row r="144" spans="4:4" ht="20.399999999999999">
      <c r="D144" s="33"/>
    </row>
    <row r="145" spans="4:4" ht="20.399999999999999">
      <c r="D145" s="33"/>
    </row>
    <row r="146" spans="4:4">
      <c r="D146"/>
    </row>
    <row r="147" spans="4:4" ht="20.399999999999999">
      <c r="D147" s="33"/>
    </row>
    <row r="148" spans="4:4" ht="20.399999999999999">
      <c r="D148" s="33"/>
    </row>
    <row r="149" spans="4:4" ht="20.399999999999999">
      <c r="D149" s="33"/>
    </row>
    <row r="150" spans="4:4" ht="20.399999999999999">
      <c r="D150" s="33"/>
    </row>
  </sheetData>
  <sheetProtection algorithmName="SHA-512" hashValue="rxuV17n4ATkewGN5Uj214yzlfw0GXfSThw/Gljck4AYocyOfNspJzJxjxrVCATZETN9AJjIqjhc7wacqeTsW1g==" saltValue="fOdqXyT6HDgZkb/6GyXVsQ==" spinCount="100000" sheet="1" objects="1" scenarios="1" selectLockedCells="1" selectUnlockedCells="1"/>
  <mergeCells count="5">
    <mergeCell ref="A1:E1"/>
    <mergeCell ref="A126:B126"/>
    <mergeCell ref="A127:B127"/>
    <mergeCell ref="A78:B78"/>
    <mergeCell ref="A83:B83"/>
  </mergeCells>
  <phoneticPr fontId="4" type="noConversion"/>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7"/>
  <sheetViews>
    <sheetView zoomScale="109" zoomScaleNormal="109" workbookViewId="0">
      <selection activeCell="J59" sqref="J59:J62"/>
    </sheetView>
  </sheetViews>
  <sheetFormatPr defaultColWidth="11.19921875" defaultRowHeight="15.6"/>
  <cols>
    <col min="1" max="1" width="24.296875" customWidth="1"/>
    <col min="2" max="2" width="13.69921875" customWidth="1"/>
    <col min="3" max="3" width="12.296875" customWidth="1"/>
    <col min="4" max="4" width="12.19921875" customWidth="1"/>
    <col min="6" max="6" width="11.296875" customWidth="1"/>
    <col min="7" max="7" width="15" customWidth="1"/>
    <col min="8" max="8" width="11.796875" customWidth="1"/>
    <col min="10" max="10" width="14" bestFit="1" customWidth="1"/>
    <col min="11" max="11" width="12.5" bestFit="1" customWidth="1"/>
    <col min="12" max="12" width="13" bestFit="1" customWidth="1"/>
    <col min="13" max="13" width="13.19921875" customWidth="1"/>
  </cols>
  <sheetData>
    <row r="1" spans="1:16" ht="55.95" customHeight="1">
      <c r="A1" s="508" t="s">
        <v>373</v>
      </c>
      <c r="B1" s="508"/>
      <c r="C1" s="508"/>
      <c r="D1" s="508"/>
      <c r="E1" s="508"/>
      <c r="F1" s="508"/>
      <c r="G1" s="508"/>
      <c r="H1" s="508"/>
      <c r="I1" s="508"/>
      <c r="J1" s="74"/>
      <c r="K1" s="74"/>
    </row>
    <row r="2" spans="1:16" ht="25.05" customHeight="1">
      <c r="A2" s="509" t="s">
        <v>365</v>
      </c>
      <c r="B2" s="509"/>
      <c r="C2" s="509"/>
      <c r="D2" s="509"/>
      <c r="E2" s="509"/>
      <c r="F2" s="509"/>
      <c r="G2" s="509"/>
      <c r="H2" s="74"/>
      <c r="I2" s="74"/>
      <c r="J2" s="74"/>
      <c r="K2" s="74"/>
    </row>
    <row r="4" spans="1:16">
      <c r="B4" s="510" t="s">
        <v>372</v>
      </c>
      <c r="C4" s="510"/>
      <c r="F4" s="36"/>
      <c r="G4" s="511" t="e">
        <f ca="1">_xlfn.CONCAT('Calorie Planning Factors'!B4, " Total Members for 1 Month")</f>
        <v>#NAME?</v>
      </c>
      <c r="H4" s="511"/>
      <c r="J4" s="17"/>
    </row>
    <row r="5" spans="1:16">
      <c r="B5" s="196" t="e">
        <f>'Calorie Planning Factors'!C31</f>
        <v>#DIV/0!</v>
      </c>
      <c r="C5" s="77" t="s">
        <v>165</v>
      </c>
      <c r="G5" s="78" t="e">
        <f>'Calorie Planning Factors'!C32</f>
        <v>#DIV/0!</v>
      </c>
      <c r="H5" s="79" t="s">
        <v>165</v>
      </c>
      <c r="I5" s="75"/>
    </row>
    <row r="6" spans="1:16">
      <c r="B6" s="35"/>
      <c r="C6" s="35"/>
      <c r="F6" s="36"/>
      <c r="G6" s="36"/>
      <c r="H6" s="36"/>
    </row>
    <row r="7" spans="1:16" ht="31.2">
      <c r="A7" s="36" t="s">
        <v>328</v>
      </c>
      <c r="C7" s="23" t="s">
        <v>111</v>
      </c>
      <c r="D7" t="s">
        <v>112</v>
      </c>
      <c r="G7" s="23" t="s">
        <v>111</v>
      </c>
      <c r="H7" t="s">
        <v>112</v>
      </c>
      <c r="J7" s="319" t="s">
        <v>493</v>
      </c>
      <c r="K7" s="22" t="s">
        <v>494</v>
      </c>
      <c r="L7" s="22" t="s">
        <v>495</v>
      </c>
      <c r="M7" s="22" t="s">
        <v>496</v>
      </c>
      <c r="N7" s="319" t="s">
        <v>493</v>
      </c>
      <c r="O7" s="22" t="s">
        <v>496</v>
      </c>
      <c r="P7" s="319" t="s">
        <v>493</v>
      </c>
    </row>
    <row r="8" spans="1:16">
      <c r="A8" s="27" t="s">
        <v>107</v>
      </c>
      <c r="C8" s="121">
        <f>100/6</f>
        <v>16.666666666666668</v>
      </c>
      <c r="D8" s="121">
        <f>C8/'Food-related Resourses'!C66</f>
        <v>0.45045045045045046</v>
      </c>
      <c r="G8" s="38">
        <f>C8*'Calorie Planning Factors'!$B$4</f>
        <v>0</v>
      </c>
      <c r="H8" s="76">
        <f>G8/'Food-related Resourses'!C66</f>
        <v>0</v>
      </c>
      <c r="J8" s="18">
        <f t="shared" ref="J8:J13" si="0">G8/4</f>
        <v>0</v>
      </c>
      <c r="K8" s="17">
        <v>1520</v>
      </c>
      <c r="L8" s="18">
        <f t="shared" ref="L8:L13" si="1">J8*K8</f>
        <v>0</v>
      </c>
      <c r="M8" s="17">
        <f>L8*0.6</f>
        <v>0</v>
      </c>
      <c r="N8" s="18">
        <f>J8*0.6</f>
        <v>0</v>
      </c>
      <c r="O8" s="87">
        <f>L8*0.86</f>
        <v>0</v>
      </c>
      <c r="P8" s="18">
        <f>J8*0.86</f>
        <v>0</v>
      </c>
    </row>
    <row r="9" spans="1:16">
      <c r="A9" s="27" t="s">
        <v>108</v>
      </c>
      <c r="C9" s="121">
        <f>15/6</f>
        <v>2.5</v>
      </c>
      <c r="D9" s="121">
        <f>C9/'Food-related Resourses'!C71</f>
        <v>0.125</v>
      </c>
      <c r="G9" s="38">
        <f>C9*'Calorie Planning Factors'!$B$4</f>
        <v>0</v>
      </c>
      <c r="H9" s="76">
        <f>G9/'Food-related Resourses'!C71</f>
        <v>0</v>
      </c>
      <c r="J9" s="18">
        <f t="shared" si="0"/>
        <v>0</v>
      </c>
      <c r="K9" s="17">
        <v>1765</v>
      </c>
      <c r="L9" s="18">
        <f t="shared" si="1"/>
        <v>0</v>
      </c>
      <c r="M9" s="17">
        <f t="shared" ref="M9:M13" si="2">L9*0.6</f>
        <v>0</v>
      </c>
      <c r="N9" s="18">
        <f t="shared" ref="N9:N13" si="3">J9*0.6</f>
        <v>0</v>
      </c>
      <c r="O9" s="87">
        <f t="shared" ref="O9:O13" si="4">L9*0.85</f>
        <v>0</v>
      </c>
      <c r="P9" s="18">
        <f t="shared" ref="P9:P13" si="5">J9*0.85</f>
        <v>0</v>
      </c>
    </row>
    <row r="10" spans="1:16">
      <c r="A10" s="27" t="s">
        <v>15</v>
      </c>
      <c r="C10" s="121">
        <f>35/6</f>
        <v>5.833333333333333</v>
      </c>
      <c r="D10" s="121">
        <f>C10/'Food-related Resourses'!C72</f>
        <v>0.16203703703703703</v>
      </c>
      <c r="G10" s="38">
        <f>C10*'Calorie Planning Factors'!$B$4</f>
        <v>0</v>
      </c>
      <c r="H10" s="76">
        <f>G10/'Food-related Resourses'!C72</f>
        <v>0</v>
      </c>
      <c r="J10" s="18">
        <f t="shared" si="0"/>
        <v>0</v>
      </c>
      <c r="K10" s="17">
        <v>1648</v>
      </c>
      <c r="L10" s="18">
        <f t="shared" si="1"/>
        <v>0</v>
      </c>
      <c r="M10" s="17">
        <f t="shared" si="2"/>
        <v>0</v>
      </c>
      <c r="N10" s="18">
        <f t="shared" si="3"/>
        <v>0</v>
      </c>
      <c r="O10" s="87">
        <f t="shared" si="4"/>
        <v>0</v>
      </c>
      <c r="P10" s="18">
        <f t="shared" si="5"/>
        <v>0</v>
      </c>
    </row>
    <row r="11" spans="1:16">
      <c r="A11" s="27" t="s">
        <v>17</v>
      </c>
      <c r="C11" s="121">
        <f>15/6</f>
        <v>2.5</v>
      </c>
      <c r="D11" s="121">
        <f>C11/'Food-related Resourses'!C73</f>
        <v>0.11904761904761904</v>
      </c>
      <c r="G11" s="38">
        <f>C11*'Calorie Planning Factors'!$B$4</f>
        <v>0</v>
      </c>
      <c r="H11" s="76">
        <f>G11/'Food-related Resourses'!C73</f>
        <v>0</v>
      </c>
      <c r="J11" s="18">
        <f t="shared" si="0"/>
        <v>0</v>
      </c>
      <c r="K11" s="17">
        <v>1685</v>
      </c>
      <c r="L11" s="18">
        <f t="shared" si="1"/>
        <v>0</v>
      </c>
      <c r="M11" s="17">
        <f t="shared" si="2"/>
        <v>0</v>
      </c>
      <c r="N11" s="18">
        <f t="shared" si="3"/>
        <v>0</v>
      </c>
      <c r="O11" s="87">
        <f t="shared" si="4"/>
        <v>0</v>
      </c>
      <c r="P11" s="18">
        <f t="shared" si="5"/>
        <v>0</v>
      </c>
    </row>
    <row r="12" spans="1:16">
      <c r="A12" s="27" t="s">
        <v>109</v>
      </c>
      <c r="C12" s="121">
        <f>15/6</f>
        <v>2.5</v>
      </c>
      <c r="D12" s="121">
        <f>C12/'Food-related Resourses'!C67</f>
        <v>7.575757575757576E-2</v>
      </c>
      <c r="G12" s="38">
        <f>C12*'Calorie Planning Factors'!$B$4</f>
        <v>0</v>
      </c>
      <c r="H12" s="76">
        <f>G12/'Food-related Resourses'!C67</f>
        <v>0</v>
      </c>
      <c r="J12" s="18">
        <f t="shared" si="0"/>
        <v>0</v>
      </c>
      <c r="K12" s="17">
        <v>1651</v>
      </c>
      <c r="L12" s="18">
        <f t="shared" si="1"/>
        <v>0</v>
      </c>
      <c r="M12" s="17">
        <f t="shared" si="2"/>
        <v>0</v>
      </c>
      <c r="N12" s="18">
        <f t="shared" si="3"/>
        <v>0</v>
      </c>
      <c r="O12" s="87">
        <f t="shared" si="4"/>
        <v>0</v>
      </c>
      <c r="P12" s="18">
        <f t="shared" si="5"/>
        <v>0</v>
      </c>
    </row>
    <row r="13" spans="1:16">
      <c r="A13" s="27" t="s">
        <v>110</v>
      </c>
      <c r="C13" s="121">
        <f>15/6</f>
        <v>2.5</v>
      </c>
      <c r="D13" s="121">
        <f>C13/'Food-related Resourses'!C68</f>
        <v>7.575757575757576E-2</v>
      </c>
      <c r="G13" s="38">
        <f>C13*'Calorie Planning Factors'!$B$4</f>
        <v>0</v>
      </c>
      <c r="H13" s="76">
        <f>G13/'Food-related Resourses'!C68</f>
        <v>0</v>
      </c>
      <c r="J13" s="18">
        <f t="shared" si="0"/>
        <v>0</v>
      </c>
      <c r="K13" s="17">
        <v>1679</v>
      </c>
      <c r="L13" s="18">
        <f t="shared" si="1"/>
        <v>0</v>
      </c>
      <c r="M13" s="17">
        <f t="shared" si="2"/>
        <v>0</v>
      </c>
      <c r="N13" s="18">
        <f t="shared" si="3"/>
        <v>0</v>
      </c>
      <c r="O13" s="87">
        <f t="shared" si="4"/>
        <v>0</v>
      </c>
      <c r="P13" s="18">
        <f t="shared" si="5"/>
        <v>0</v>
      </c>
    </row>
    <row r="14" spans="1:16">
      <c r="A14" s="28" t="s">
        <v>106</v>
      </c>
      <c r="C14" s="36">
        <f>SUM(C7:C13)</f>
        <v>32.5</v>
      </c>
      <c r="D14" s="36"/>
      <c r="G14" s="38">
        <f>SUM(G7:G13)</f>
        <v>0</v>
      </c>
      <c r="H14" s="76">
        <f>SUM(H8:H13)</f>
        <v>0</v>
      </c>
      <c r="J14" s="18">
        <f>SUM(J8:J13)</f>
        <v>0</v>
      </c>
      <c r="L14" s="18">
        <f>SUM(L8:L13)</f>
        <v>0</v>
      </c>
      <c r="M14" s="17">
        <f>SUM(M8:M13)</f>
        <v>0</v>
      </c>
      <c r="N14" s="18">
        <f>SUM(N8:N13)</f>
        <v>0</v>
      </c>
      <c r="O14" s="372">
        <f>SUM(O8:O13)</f>
        <v>0</v>
      </c>
      <c r="P14" s="18">
        <f>SUM(P8:P13)</f>
        <v>0</v>
      </c>
    </row>
    <row r="15" spans="1:16">
      <c r="J15" s="18"/>
      <c r="O15" s="14">
        <f>M14/1708000</f>
        <v>0</v>
      </c>
    </row>
    <row r="16" spans="1:16" ht="18">
      <c r="A16" s="36" t="s">
        <v>329</v>
      </c>
      <c r="B16" s="23"/>
      <c r="C16" s="23" t="s">
        <v>111</v>
      </c>
      <c r="F16" s="23"/>
      <c r="G16" s="23" t="s">
        <v>111</v>
      </c>
      <c r="H16" s="23" t="s">
        <v>165</v>
      </c>
    </row>
    <row r="17" spans="1:15">
      <c r="C17" s="121">
        <f>'Stored Ingredients Reqs 6mo'!C18/6</f>
        <v>1.6666666666666667</v>
      </c>
      <c r="G17" s="121">
        <f>C17*'Calorie Planning Factors'!$B$4</f>
        <v>0</v>
      </c>
      <c r="J17" s="31"/>
    </row>
    <row r="18" spans="1:15">
      <c r="A18" t="s">
        <v>551</v>
      </c>
      <c r="C18" s="121">
        <f>C17*0.4</f>
        <v>0.66666666666666674</v>
      </c>
      <c r="G18" s="121">
        <f>C18*'Calorie Planning Factors'!$B$4</f>
        <v>0</v>
      </c>
      <c r="H18" s="38">
        <f>G18*'Calorie Sources Data'!D84</f>
        <v>0</v>
      </c>
      <c r="J18" s="364">
        <f t="shared" ref="J18:J20" si="6">G18/4</f>
        <v>0</v>
      </c>
      <c r="K18">
        <f>'Calorie Sources Data'!D84</f>
        <v>1360</v>
      </c>
      <c r="L18" s="17">
        <f>J18*K18</f>
        <v>0</v>
      </c>
    </row>
    <row r="19" spans="1:15">
      <c r="A19" t="s">
        <v>5</v>
      </c>
      <c r="C19" s="121">
        <f>C17*0.4</f>
        <v>0.66666666666666674</v>
      </c>
      <c r="G19" s="121">
        <f>C19*'Calorie Planning Factors'!$B$4</f>
        <v>0</v>
      </c>
      <c r="H19" s="38">
        <f>G19*'Calorie Sources Data'!D85</f>
        <v>0</v>
      </c>
      <c r="J19" s="364">
        <f t="shared" si="6"/>
        <v>0</v>
      </c>
      <c r="K19">
        <f>'Calorie Sources Data'!D85</f>
        <v>1200</v>
      </c>
      <c r="L19" s="17">
        <f t="shared" ref="L19:L20" si="7">J19*K19</f>
        <v>0</v>
      </c>
    </row>
    <row r="20" spans="1:15">
      <c r="A20" t="s">
        <v>552</v>
      </c>
      <c r="C20" s="121">
        <f>C17*0.2</f>
        <v>0.33333333333333337</v>
      </c>
      <c r="G20" s="121">
        <f>C20*'Calorie Planning Factors'!$B$4</f>
        <v>0</v>
      </c>
      <c r="H20" s="38">
        <f>G20*'Calorie Sources Data'!D86</f>
        <v>0</v>
      </c>
      <c r="J20" s="364">
        <f t="shared" si="6"/>
        <v>0</v>
      </c>
      <c r="K20">
        <f>'Calorie Sources Data'!D86</f>
        <v>1360</v>
      </c>
      <c r="L20" s="17">
        <f t="shared" si="7"/>
        <v>0</v>
      </c>
    </row>
    <row r="21" spans="1:15">
      <c r="A21" s="36" t="s">
        <v>563</v>
      </c>
      <c r="C21" s="121">
        <f>SUM(C18:C20)</f>
        <v>1.666666666666667</v>
      </c>
      <c r="G21" s="121">
        <f>SUM(G18:G20)</f>
        <v>0</v>
      </c>
      <c r="H21" s="40">
        <f>SUM(H18:H20)</f>
        <v>0</v>
      </c>
      <c r="J21" s="364">
        <f>SUM(J18:J20)</f>
        <v>0</v>
      </c>
      <c r="L21" s="18">
        <f>SUM(L18:L20)</f>
        <v>0</v>
      </c>
    </row>
    <row r="22" spans="1:15">
      <c r="C22" s="31"/>
    </row>
    <row r="23" spans="1:15" ht="18">
      <c r="A23" s="36" t="s">
        <v>330</v>
      </c>
    </row>
    <row r="24" spans="1:15">
      <c r="A24" s="27" t="s">
        <v>116</v>
      </c>
      <c r="B24" s="23" t="s">
        <v>121</v>
      </c>
      <c r="C24" s="121">
        <f>1/6</f>
        <v>0.16666666666666666</v>
      </c>
      <c r="G24" s="23" t="s">
        <v>121</v>
      </c>
      <c r="H24" s="195">
        <f>C24*'Calorie Planning Factors'!$B$4</f>
        <v>0</v>
      </c>
      <c r="J24" s="31">
        <f>H24/4</f>
        <v>0</v>
      </c>
      <c r="K24" s="17">
        <f>256*120</f>
        <v>30720</v>
      </c>
      <c r="L24" s="17">
        <f t="shared" ref="L24:L29" si="8">J24*K24</f>
        <v>0</v>
      </c>
      <c r="M24" s="17">
        <f>L24*0.85</f>
        <v>0</v>
      </c>
      <c r="N24" s="31">
        <f>J24*0.85</f>
        <v>0</v>
      </c>
    </row>
    <row r="25" spans="1:15">
      <c r="A25" s="27" t="s">
        <v>117</v>
      </c>
      <c r="B25" s="23" t="s">
        <v>111</v>
      </c>
      <c r="C25" s="121">
        <f>2/6</f>
        <v>0.33333333333333331</v>
      </c>
      <c r="G25" s="23" t="s">
        <v>111</v>
      </c>
      <c r="H25" s="195">
        <f>C25*'Calorie Planning Factors'!$B$4</f>
        <v>0</v>
      </c>
      <c r="J25" s="31">
        <f t="shared" ref="J25:J29" si="9">H25/4</f>
        <v>0</v>
      </c>
      <c r="K25" s="17">
        <v>4010</v>
      </c>
      <c r="L25" s="17">
        <f t="shared" si="8"/>
        <v>0</v>
      </c>
      <c r="M25" s="17">
        <f t="shared" ref="M25:M29" si="10">L25*0.85</f>
        <v>0</v>
      </c>
      <c r="N25" s="31">
        <f t="shared" ref="N25:N29" si="11">J25*0.85</f>
        <v>0</v>
      </c>
    </row>
    <row r="26" spans="1:15">
      <c r="A26" s="27" t="s">
        <v>118</v>
      </c>
      <c r="B26" s="23" t="s">
        <v>122</v>
      </c>
      <c r="C26" s="121">
        <f>1/6</f>
        <v>0.16666666666666666</v>
      </c>
      <c r="G26" s="23" t="s">
        <v>122</v>
      </c>
      <c r="H26" s="195">
        <f>C26*'Calorie Planning Factors'!$B$4</f>
        <v>0</v>
      </c>
      <c r="J26" s="31">
        <f>H26/4/4</f>
        <v>0</v>
      </c>
      <c r="K26" s="17">
        <v>14800</v>
      </c>
      <c r="L26" s="17">
        <f t="shared" si="8"/>
        <v>0</v>
      </c>
      <c r="M26" s="17">
        <f t="shared" si="10"/>
        <v>0</v>
      </c>
      <c r="N26" s="31">
        <f t="shared" si="11"/>
        <v>0</v>
      </c>
    </row>
    <row r="27" spans="1:15">
      <c r="A27" s="27" t="s">
        <v>119</v>
      </c>
      <c r="B27" s="23" t="s">
        <v>122</v>
      </c>
      <c r="C27" s="121">
        <f>1/6</f>
        <v>0.16666666666666666</v>
      </c>
      <c r="G27" s="23" t="s">
        <v>122</v>
      </c>
      <c r="H27" s="195">
        <f>C27*'Calorie Planning Factors'!$B$4</f>
        <v>0</v>
      </c>
      <c r="J27" s="31">
        <f>H27/4/4</f>
        <v>0</v>
      </c>
      <c r="K27" s="17">
        <v>24064</v>
      </c>
      <c r="L27" s="17">
        <f t="shared" si="8"/>
        <v>0</v>
      </c>
      <c r="M27" s="17">
        <f t="shared" si="10"/>
        <v>0</v>
      </c>
      <c r="N27" s="31">
        <f t="shared" si="11"/>
        <v>0</v>
      </c>
    </row>
    <row r="28" spans="1:15">
      <c r="A28" s="27" t="s">
        <v>120</v>
      </c>
      <c r="B28" s="23" t="s">
        <v>111</v>
      </c>
      <c r="C28" s="121">
        <f>2/6</f>
        <v>0.33333333333333331</v>
      </c>
      <c r="G28" s="23" t="s">
        <v>111</v>
      </c>
      <c r="H28" s="195">
        <f>C28*'Calorie Planning Factors'!$B$4</f>
        <v>0</v>
      </c>
      <c r="J28" s="31">
        <f t="shared" si="9"/>
        <v>0</v>
      </c>
      <c r="K28" s="17">
        <v>2665</v>
      </c>
      <c r="L28" s="17">
        <f t="shared" si="8"/>
        <v>0</v>
      </c>
      <c r="M28" s="17">
        <f t="shared" si="10"/>
        <v>0</v>
      </c>
      <c r="N28" s="31">
        <f t="shared" si="11"/>
        <v>0</v>
      </c>
    </row>
    <row r="29" spans="1:15">
      <c r="A29" s="27" t="s">
        <v>266</v>
      </c>
      <c r="B29" s="23" t="s">
        <v>111</v>
      </c>
      <c r="C29" s="121">
        <f>1/6</f>
        <v>0.16666666666666666</v>
      </c>
      <c r="G29" s="23" t="s">
        <v>111</v>
      </c>
      <c r="H29" s="195">
        <f>C29*'Calorie Planning Factors'!$B$4</f>
        <v>0</v>
      </c>
      <c r="J29" s="31">
        <f t="shared" si="9"/>
        <v>0</v>
      </c>
      <c r="K29" s="17">
        <v>2752</v>
      </c>
      <c r="L29" s="17">
        <f t="shared" si="8"/>
        <v>0</v>
      </c>
      <c r="M29" s="17">
        <f t="shared" si="10"/>
        <v>0</v>
      </c>
      <c r="N29" s="31">
        <f t="shared" si="11"/>
        <v>0</v>
      </c>
    </row>
    <row r="30" spans="1:15">
      <c r="A30" s="28" t="s">
        <v>123</v>
      </c>
      <c r="B30" s="23"/>
      <c r="G30" s="23"/>
      <c r="L30" s="18">
        <f>SUM(L24:L29)</f>
        <v>0</v>
      </c>
      <c r="M30" s="18">
        <f>SUM(M24:M29)</f>
        <v>0</v>
      </c>
      <c r="N30" s="18"/>
      <c r="O30" s="14">
        <f>M30/1708000</f>
        <v>0</v>
      </c>
    </row>
    <row r="32" spans="1:15" ht="18">
      <c r="A32" s="36" t="s">
        <v>331</v>
      </c>
      <c r="C32" s="23" t="s">
        <v>111</v>
      </c>
      <c r="D32" t="s">
        <v>112</v>
      </c>
      <c r="G32" s="23" t="s">
        <v>111</v>
      </c>
      <c r="H32" t="s">
        <v>112</v>
      </c>
    </row>
    <row r="33" spans="1:15">
      <c r="A33" s="27" t="s">
        <v>125</v>
      </c>
      <c r="C33" s="121">
        <f>20/6</f>
        <v>3.3333333333333335</v>
      </c>
      <c r="D33" s="121">
        <f>C33/'Food-related Resourses'!C76</f>
        <v>9.5238095238095247E-2</v>
      </c>
      <c r="G33" s="38">
        <f>C33*'Calorie Planning Factors'!$B$4</f>
        <v>0</v>
      </c>
      <c r="H33" s="195">
        <f>D33*'Calorie Planning Factors'!$B$4</f>
        <v>0</v>
      </c>
      <c r="J33" s="19">
        <f>G33/4</f>
        <v>0</v>
      </c>
      <c r="K33" s="17">
        <v>150</v>
      </c>
      <c r="L33" s="17">
        <f>J33*K33</f>
        <v>0</v>
      </c>
      <c r="M33" s="17">
        <f>L33*0.85</f>
        <v>0</v>
      </c>
      <c r="N33" s="19">
        <f>J33*0.85</f>
        <v>0</v>
      </c>
    </row>
    <row r="34" spans="1:15">
      <c r="A34" s="27" t="s">
        <v>126</v>
      </c>
      <c r="C34" s="121">
        <f>3/6</f>
        <v>0.5</v>
      </c>
      <c r="D34" s="121">
        <f>C34/'Food-related Resourses'!C79</f>
        <v>1.5151515151515152E-2</v>
      </c>
      <c r="G34" s="38">
        <f>C34*'Calorie Planning Factors'!$B$4</f>
        <v>0</v>
      </c>
      <c r="H34" s="195">
        <f>D34*'Calorie Planning Factors'!$B$4</f>
        <v>0</v>
      </c>
      <c r="J34" s="19">
        <f t="shared" ref="J34:J38" si="12">G34/4</f>
        <v>0</v>
      </c>
      <c r="K34" s="17">
        <v>1545</v>
      </c>
      <c r="L34" s="17">
        <f>J34*K34</f>
        <v>0</v>
      </c>
      <c r="M34" s="17">
        <f t="shared" ref="M34:M38" si="13">L34*0.85</f>
        <v>0</v>
      </c>
      <c r="N34" s="19">
        <f t="shared" ref="N34:N38" si="14">J34*0.85</f>
        <v>0</v>
      </c>
    </row>
    <row r="35" spans="1:15">
      <c r="A35" s="27" t="s">
        <v>127</v>
      </c>
      <c r="C35" s="121">
        <f>5/6</f>
        <v>0.83333333333333337</v>
      </c>
      <c r="D35" s="121">
        <f>C35/'Food-related Resourses'!C76</f>
        <v>2.3809523809523812E-2</v>
      </c>
      <c r="G35" s="38">
        <f>C35*'Calorie Planning Factors'!$B$4</f>
        <v>0</v>
      </c>
      <c r="H35" s="195">
        <f>D35*'Calorie Planning Factors'!$B$4</f>
        <v>0</v>
      </c>
      <c r="J35" s="19">
        <f t="shared" si="12"/>
        <v>0</v>
      </c>
      <c r="K35" s="17">
        <v>567</v>
      </c>
      <c r="L35" s="17">
        <f t="shared" ref="L35:L38" si="15">J35*K35</f>
        <v>0</v>
      </c>
      <c r="M35" s="17">
        <f t="shared" si="13"/>
        <v>0</v>
      </c>
      <c r="N35" s="19">
        <f t="shared" si="14"/>
        <v>0</v>
      </c>
    </row>
    <row r="36" spans="1:15">
      <c r="A36" s="27" t="s">
        <v>128</v>
      </c>
      <c r="C36" s="121">
        <f>3/6</f>
        <v>0.5</v>
      </c>
      <c r="D36" s="121">
        <f>C36/'Food-related Resourses'!C80</f>
        <v>1.4285714285714285E-2</v>
      </c>
      <c r="G36" s="38">
        <f>C36*'Calorie Planning Factors'!$B$4</f>
        <v>0</v>
      </c>
      <c r="H36" s="195">
        <f>D36*'Calorie Planning Factors'!$B$4</f>
        <v>0</v>
      </c>
      <c r="J36" s="19">
        <f t="shared" si="12"/>
        <v>0</v>
      </c>
      <c r="K36" s="17">
        <v>980</v>
      </c>
      <c r="L36" s="17">
        <f t="shared" si="15"/>
        <v>0</v>
      </c>
      <c r="M36" s="17">
        <f t="shared" si="13"/>
        <v>0</v>
      </c>
      <c r="N36" s="19">
        <f t="shared" si="14"/>
        <v>0</v>
      </c>
    </row>
    <row r="37" spans="1:15">
      <c r="A37" s="27" t="s">
        <v>130</v>
      </c>
      <c r="C37" s="121">
        <f>3/6</f>
        <v>0.5</v>
      </c>
      <c r="D37" s="121">
        <f>C37/'Food-related Resourses'!C77</f>
        <v>1.4285714285714285E-2</v>
      </c>
      <c r="G37" s="38">
        <f>C37*'Calorie Planning Factors'!$B$4</f>
        <v>0</v>
      </c>
      <c r="H37" s="195">
        <f>D37*'Calorie Planning Factors'!$B$4</f>
        <v>0</v>
      </c>
      <c r="J37" s="19">
        <f t="shared" si="12"/>
        <v>0</v>
      </c>
      <c r="K37" s="17">
        <v>504</v>
      </c>
      <c r="L37" s="17">
        <f t="shared" si="15"/>
        <v>0</v>
      </c>
      <c r="M37" s="17">
        <f t="shared" si="13"/>
        <v>0</v>
      </c>
      <c r="N37" s="19">
        <f t="shared" si="14"/>
        <v>0</v>
      </c>
    </row>
    <row r="38" spans="1:15">
      <c r="A38" s="27" t="s">
        <v>129</v>
      </c>
      <c r="C38" s="121">
        <f>3/6</f>
        <v>0.5</v>
      </c>
      <c r="D38" s="121">
        <f>C38/'Food-related Resourses'!C74</f>
        <v>1.5151515151515152E-2</v>
      </c>
      <c r="G38" s="38">
        <f>C38*'Calorie Planning Factors'!$B$4</f>
        <v>0</v>
      </c>
      <c r="H38" s="195">
        <f>D38*'Calorie Planning Factors'!$B$4</f>
        <v>0</v>
      </c>
      <c r="J38" s="19">
        <f t="shared" si="12"/>
        <v>0</v>
      </c>
      <c r="K38" s="17">
        <v>1558</v>
      </c>
      <c r="L38" s="17">
        <f t="shared" si="15"/>
        <v>0</v>
      </c>
      <c r="M38" s="17">
        <f t="shared" si="13"/>
        <v>0</v>
      </c>
      <c r="N38" s="19">
        <f t="shared" si="14"/>
        <v>0</v>
      </c>
    </row>
    <row r="39" spans="1:15">
      <c r="A39" s="28" t="s">
        <v>135</v>
      </c>
      <c r="C39" s="121">
        <f>SUM(C33:C38)</f>
        <v>6.166666666666667</v>
      </c>
      <c r="D39" s="36"/>
      <c r="G39" s="38">
        <f>SUM(G33:G38)</f>
        <v>0</v>
      </c>
      <c r="H39" s="76">
        <f>SUM(H33:H38)</f>
        <v>0</v>
      </c>
      <c r="J39" s="19">
        <f>SUM(J33:J38)</f>
        <v>0</v>
      </c>
      <c r="L39" s="18">
        <f>SUM(L33:L38)</f>
        <v>0</v>
      </c>
      <c r="M39" s="17">
        <f>SUM(M33:M38)</f>
        <v>0</v>
      </c>
      <c r="N39" s="19">
        <f>SUM(N33:N38)</f>
        <v>0</v>
      </c>
      <c r="O39" s="14">
        <f>M39/1708000</f>
        <v>0</v>
      </c>
    </row>
    <row r="41" spans="1:15" ht="18">
      <c r="A41" s="36" t="s">
        <v>332</v>
      </c>
      <c r="D41" t="s">
        <v>112</v>
      </c>
      <c r="H41" t="s">
        <v>112</v>
      </c>
    </row>
    <row r="42" spans="1:15">
      <c r="A42" s="27" t="s">
        <v>131</v>
      </c>
      <c r="B42" s="23" t="s">
        <v>111</v>
      </c>
      <c r="C42" s="121">
        <f>36/6</f>
        <v>6</v>
      </c>
      <c r="D42" s="121">
        <f>C42/'Food-related Resourses'!C84</f>
        <v>0.20689655172413793</v>
      </c>
      <c r="F42" s="23" t="s">
        <v>111</v>
      </c>
      <c r="G42" s="195">
        <f>C43*'Calorie Planning Factors'!$B$4</f>
        <v>0</v>
      </c>
      <c r="H42" s="76">
        <f>D42*'Calorie Planning Factors'!$B$4</f>
        <v>0</v>
      </c>
      <c r="J42" s="31">
        <f>G42/4</f>
        <v>0</v>
      </c>
      <c r="K42" s="17">
        <v>2250</v>
      </c>
      <c r="L42" s="17">
        <f>J42*K42</f>
        <v>0</v>
      </c>
      <c r="M42" s="17">
        <f>L42*0.85</f>
        <v>0</v>
      </c>
      <c r="N42" s="31">
        <f>J42*0.85</f>
        <v>0</v>
      </c>
    </row>
    <row r="43" spans="1:15">
      <c r="A43" s="27" t="s">
        <v>132</v>
      </c>
      <c r="B43" s="23" t="s">
        <v>134</v>
      </c>
      <c r="C43" s="121">
        <f>8/6</f>
        <v>1.3333333333333333</v>
      </c>
      <c r="D43" s="36"/>
      <c r="F43" s="23" t="s">
        <v>134</v>
      </c>
      <c r="G43" s="195">
        <f>C44*'Calorie Planning Factors'!$B$4</f>
        <v>0</v>
      </c>
      <c r="J43" s="31">
        <f t="shared" ref="J43:J44" si="16">G43/4</f>
        <v>0</v>
      </c>
      <c r="K43" s="17">
        <v>169</v>
      </c>
      <c r="L43" s="17">
        <f t="shared" ref="L43:L44" si="17">J43*K43</f>
        <v>0</v>
      </c>
      <c r="M43" s="17">
        <f t="shared" ref="M43:M44" si="18">L43*0.85</f>
        <v>0</v>
      </c>
      <c r="N43" s="31">
        <f t="shared" ref="N43:N44" si="19">J43*0.85</f>
        <v>0</v>
      </c>
    </row>
    <row r="44" spans="1:15">
      <c r="A44" s="27" t="s">
        <v>133</v>
      </c>
      <c r="B44" s="23" t="s">
        <v>111</v>
      </c>
      <c r="C44" s="121">
        <f>8/6</f>
        <v>1.3333333333333333</v>
      </c>
      <c r="D44" s="36"/>
      <c r="F44" s="23" t="s">
        <v>111</v>
      </c>
      <c r="G44" s="195">
        <f>C44*'Calorie Planning Factors'!$B$4</f>
        <v>0</v>
      </c>
      <c r="J44" s="31">
        <f t="shared" si="16"/>
        <v>0</v>
      </c>
      <c r="K44" s="17">
        <v>169</v>
      </c>
      <c r="L44" s="17">
        <f t="shared" si="17"/>
        <v>0</v>
      </c>
      <c r="M44" s="17">
        <f t="shared" si="18"/>
        <v>0</v>
      </c>
      <c r="N44" s="31">
        <f t="shared" si="19"/>
        <v>0</v>
      </c>
    </row>
    <row r="45" spans="1:15">
      <c r="A45" s="28"/>
      <c r="B45" s="23"/>
      <c r="F45" s="23"/>
      <c r="K45" s="17"/>
      <c r="L45" s="18">
        <f>SUM(L42:L44)</f>
        <v>0</v>
      </c>
      <c r="M45" s="18">
        <f>SUM(M42:M44)</f>
        <v>0</v>
      </c>
      <c r="O45" s="14">
        <f>M45/1708000</f>
        <v>0</v>
      </c>
    </row>
    <row r="46" spans="1:15">
      <c r="K46" s="17"/>
    </row>
    <row r="47" spans="1:15" ht="18">
      <c r="A47" s="36" t="s">
        <v>137</v>
      </c>
      <c r="C47" s="23" t="s">
        <v>111</v>
      </c>
      <c r="D47" t="s">
        <v>112</v>
      </c>
      <c r="G47" s="23" t="s">
        <v>111</v>
      </c>
      <c r="H47" t="s">
        <v>112</v>
      </c>
      <c r="K47" s="17"/>
    </row>
    <row r="48" spans="1:15">
      <c r="A48" s="27" t="s">
        <v>138</v>
      </c>
      <c r="C48" s="121">
        <f>20/6</f>
        <v>3.3333333333333335</v>
      </c>
      <c r="D48" s="121">
        <f>C48/'Food-related Resourses'!C82</f>
        <v>9.5238095238095247E-2</v>
      </c>
      <c r="G48" s="38">
        <f>C48*'Calorie Planning Factors'!$B$4</f>
        <v>0</v>
      </c>
      <c r="H48" s="76">
        <f>D48*'Calorie Planning Factors'!$B$4</f>
        <v>0</v>
      </c>
      <c r="J48" s="19">
        <f>G48/4</f>
        <v>0</v>
      </c>
      <c r="K48" s="17">
        <v>1775</v>
      </c>
      <c r="L48" s="17">
        <f>J48*K48</f>
        <v>0</v>
      </c>
      <c r="M48" s="17">
        <f>L48*0.85</f>
        <v>0</v>
      </c>
      <c r="N48" s="19">
        <f>J48*0.85</f>
        <v>0</v>
      </c>
    </row>
    <row r="49" spans="1:15">
      <c r="A49" s="27" t="s">
        <v>139</v>
      </c>
      <c r="C49" s="121">
        <f>2/6</f>
        <v>0.33333333333333331</v>
      </c>
      <c r="D49" s="36"/>
      <c r="G49" s="38">
        <f>C49*'Calorie Planning Factors'!$B$4</f>
        <v>0</v>
      </c>
      <c r="H49" s="36"/>
      <c r="J49" s="19">
        <f t="shared" ref="J49:J56" si="20">G49/4</f>
        <v>0</v>
      </c>
      <c r="K49" s="17">
        <f>32*45</f>
        <v>1440</v>
      </c>
      <c r="L49" s="17">
        <f t="shared" ref="L49:L55" si="21">J49*K49</f>
        <v>0</v>
      </c>
      <c r="M49" s="17">
        <f t="shared" ref="M49:M55" si="22">L49*0.85</f>
        <v>0</v>
      </c>
      <c r="N49" s="19">
        <f t="shared" ref="N49:N55" si="23">J49*0.85</f>
        <v>0</v>
      </c>
    </row>
    <row r="50" spans="1:15">
      <c r="A50" s="27" t="s">
        <v>140</v>
      </c>
      <c r="C50" s="121">
        <f>3/6</f>
        <v>0.5</v>
      </c>
      <c r="D50" s="36"/>
      <c r="G50" s="38">
        <f>C50*'Calorie Planning Factors'!$B$4</f>
        <v>0</v>
      </c>
      <c r="H50" s="36"/>
      <c r="J50" s="19">
        <f t="shared" si="20"/>
        <v>0</v>
      </c>
      <c r="K50" s="17">
        <v>248</v>
      </c>
      <c r="L50" s="17">
        <f t="shared" si="21"/>
        <v>0</v>
      </c>
      <c r="M50" s="17">
        <f t="shared" si="22"/>
        <v>0</v>
      </c>
      <c r="N50" s="19">
        <f t="shared" si="23"/>
        <v>0</v>
      </c>
    </row>
    <row r="51" spans="1:15">
      <c r="A51" s="27" t="s">
        <v>141</v>
      </c>
      <c r="C51" s="121">
        <f>2/6</f>
        <v>0.33333333333333331</v>
      </c>
      <c r="D51" s="122">
        <f>C51/'Food-related Resourses'!C83</f>
        <v>1.01010101010101E-2</v>
      </c>
      <c r="G51" s="38">
        <f>C51*'Calorie Planning Factors'!$B$4</f>
        <v>0</v>
      </c>
      <c r="H51" s="76">
        <f>D51*'Calorie Planning Factors'!$B$4</f>
        <v>0</v>
      </c>
      <c r="J51" s="19">
        <f t="shared" si="20"/>
        <v>0</v>
      </c>
      <c r="K51" s="17">
        <v>1676</v>
      </c>
      <c r="L51" s="17">
        <f t="shared" si="21"/>
        <v>0</v>
      </c>
      <c r="M51" s="17">
        <f t="shared" si="22"/>
        <v>0</v>
      </c>
      <c r="N51" s="19">
        <f t="shared" si="23"/>
        <v>0</v>
      </c>
    </row>
    <row r="52" spans="1:15">
      <c r="A52" s="27" t="s">
        <v>142</v>
      </c>
      <c r="C52" s="121">
        <f>1/6</f>
        <v>0.16666666666666666</v>
      </c>
      <c r="D52" s="36"/>
      <c r="G52" s="38">
        <f>C52*'Calorie Planning Factors'!$B$4</f>
        <v>0</v>
      </c>
      <c r="H52" s="36"/>
      <c r="J52" s="19">
        <f t="shared" si="20"/>
        <v>0</v>
      </c>
      <c r="K52" s="17">
        <v>1293</v>
      </c>
      <c r="L52" s="17">
        <f t="shared" si="21"/>
        <v>0</v>
      </c>
      <c r="M52" s="17">
        <f t="shared" si="22"/>
        <v>0</v>
      </c>
      <c r="N52" s="19">
        <f t="shared" si="23"/>
        <v>0</v>
      </c>
    </row>
    <row r="53" spans="1:15">
      <c r="A53" s="27" t="s">
        <v>143</v>
      </c>
      <c r="C53" s="121">
        <f>2/6</f>
        <v>0.33333333333333331</v>
      </c>
      <c r="D53" s="36"/>
      <c r="G53" s="38">
        <f>C53*'Calorie Planning Factors'!$B$4</f>
        <v>0</v>
      </c>
      <c r="H53" s="36"/>
      <c r="J53" s="19">
        <f t="shared" si="20"/>
        <v>0</v>
      </c>
      <c r="K53" s="17">
        <v>1382</v>
      </c>
      <c r="L53" s="17">
        <f t="shared" si="21"/>
        <v>0</v>
      </c>
      <c r="M53" s="17">
        <f t="shared" si="22"/>
        <v>0</v>
      </c>
      <c r="N53" s="19">
        <f t="shared" si="23"/>
        <v>0</v>
      </c>
    </row>
    <row r="54" spans="1:15">
      <c r="A54" s="27" t="s">
        <v>144</v>
      </c>
      <c r="C54" s="121">
        <f>1/6</f>
        <v>0.16666666666666666</v>
      </c>
      <c r="D54" s="36"/>
      <c r="G54" s="38">
        <f>C54*'Calorie Planning Factors'!$B$4</f>
        <v>0</v>
      </c>
      <c r="H54" s="36"/>
      <c r="J54" s="19">
        <f t="shared" si="20"/>
        <v>0</v>
      </c>
      <c r="K54" s="17">
        <v>1315</v>
      </c>
      <c r="L54" s="17">
        <f t="shared" si="21"/>
        <v>0</v>
      </c>
      <c r="M54" s="17">
        <f t="shared" si="22"/>
        <v>0</v>
      </c>
      <c r="N54" s="19">
        <f t="shared" si="23"/>
        <v>0</v>
      </c>
    </row>
    <row r="55" spans="1:15">
      <c r="A55" s="27" t="s">
        <v>145</v>
      </c>
      <c r="C55" s="121">
        <f>1/6</f>
        <v>0.16666666666666666</v>
      </c>
      <c r="D55" s="36"/>
      <c r="G55" s="38">
        <f>C55*'Calorie Planning Factors'!$B$4</f>
        <v>0</v>
      </c>
      <c r="H55" s="36"/>
      <c r="J55" s="19">
        <f t="shared" si="20"/>
        <v>0</v>
      </c>
      <c r="K55" s="17">
        <f>(454/21)*80</f>
        <v>1729.5238095238096</v>
      </c>
      <c r="L55" s="17">
        <f t="shared" si="21"/>
        <v>0</v>
      </c>
      <c r="M55" s="17">
        <f t="shared" si="22"/>
        <v>0</v>
      </c>
      <c r="N55" s="19">
        <f t="shared" si="23"/>
        <v>0</v>
      </c>
    </row>
    <row r="56" spans="1:15">
      <c r="A56" s="28" t="s">
        <v>146</v>
      </c>
      <c r="C56" s="121">
        <f>SUM(C48:C55)</f>
        <v>5.3333333333333339</v>
      </c>
      <c r="D56" s="36"/>
      <c r="G56" s="38">
        <f>SUM(G48:G55)</f>
        <v>0</v>
      </c>
      <c r="H56" s="36"/>
      <c r="J56" s="19">
        <f t="shared" si="20"/>
        <v>0</v>
      </c>
      <c r="L56" s="18">
        <f>SUM(L48:L55)</f>
        <v>0</v>
      </c>
      <c r="M56" s="18">
        <f>SUM(M48:M55)</f>
        <v>0</v>
      </c>
      <c r="N56" s="19">
        <f>SUM(N48:N55)</f>
        <v>0</v>
      </c>
      <c r="O56" s="14">
        <f>M56/1708000</f>
        <v>0</v>
      </c>
    </row>
    <row r="57" spans="1:15">
      <c r="A57" s="27"/>
    </row>
    <row r="58" spans="1:15" ht="18">
      <c r="A58" s="29" t="s">
        <v>333</v>
      </c>
      <c r="D58" t="s">
        <v>112</v>
      </c>
      <c r="H58" t="s">
        <v>112</v>
      </c>
    </row>
    <row r="59" spans="1:15">
      <c r="A59" s="27" t="s">
        <v>147</v>
      </c>
      <c r="B59" s="23" t="s">
        <v>111</v>
      </c>
      <c r="C59" s="121">
        <f>3/6</f>
        <v>0.5</v>
      </c>
      <c r="D59" s="122">
        <f>C59/'Food-related Resourses'!C86</f>
        <v>0.01</v>
      </c>
      <c r="F59" s="23" t="s">
        <v>111</v>
      </c>
      <c r="G59" s="38">
        <f>C59*'Calorie Planning Factors'!$B$4</f>
        <v>0</v>
      </c>
      <c r="H59" s="76">
        <f>D59*'Calorie Planning Factors'!$B$4</f>
        <v>0</v>
      </c>
      <c r="J59" s="19">
        <f>G59/4</f>
        <v>0</v>
      </c>
    </row>
    <row r="60" spans="1:15">
      <c r="A60" s="27" t="s">
        <v>148</v>
      </c>
      <c r="B60" s="23" t="s">
        <v>111</v>
      </c>
      <c r="C60" s="121">
        <f>1/6</f>
        <v>0.16666666666666666</v>
      </c>
      <c r="D60" s="122">
        <f>C60/'Food-related Resourses'!C88</f>
        <v>5.0505050505050501E-3</v>
      </c>
      <c r="F60" s="23" t="s">
        <v>111</v>
      </c>
      <c r="G60" s="38">
        <f>C60*'Calorie Planning Factors'!$B$4</f>
        <v>0</v>
      </c>
      <c r="H60" s="76">
        <f>D60*'Calorie Planning Factors'!$B$4</f>
        <v>0</v>
      </c>
      <c r="J60" s="19">
        <f t="shared" ref="J60:J62" si="24">G60/4</f>
        <v>0</v>
      </c>
    </row>
    <row r="61" spans="1:15">
      <c r="A61" s="27" t="s">
        <v>149</v>
      </c>
      <c r="B61" s="23" t="s">
        <v>111</v>
      </c>
      <c r="C61" s="121">
        <f>1/6</f>
        <v>0.16666666666666666</v>
      </c>
      <c r="D61" s="122">
        <f>C61/'Food-related Resourses'!C89</f>
        <v>5.0505050505050501E-3</v>
      </c>
      <c r="F61" s="23" t="s">
        <v>111</v>
      </c>
      <c r="G61" s="38">
        <f>C61*'Calorie Planning Factors'!$B$4</f>
        <v>0</v>
      </c>
      <c r="H61" s="76">
        <f>D61*'Calorie Planning Factors'!$B$4</f>
        <v>0</v>
      </c>
      <c r="J61" s="19">
        <f t="shared" si="24"/>
        <v>0</v>
      </c>
    </row>
    <row r="62" spans="1:15">
      <c r="A62" s="27" t="s">
        <v>150</v>
      </c>
      <c r="B62" s="23" t="s">
        <v>111</v>
      </c>
      <c r="C62" s="121">
        <f>1/6</f>
        <v>0.16666666666666666</v>
      </c>
      <c r="D62" s="122">
        <f>C62/'Food-related Resourses'!C90</f>
        <v>5.0505050505050501E-3</v>
      </c>
      <c r="F62" s="23" t="s">
        <v>111</v>
      </c>
      <c r="G62" s="38">
        <f>C62*'Calorie Planning Factors'!$B$4</f>
        <v>0</v>
      </c>
      <c r="H62" s="76">
        <f>D62*'Calorie Planning Factors'!$B$4</f>
        <v>0</v>
      </c>
      <c r="J62" s="19">
        <f t="shared" si="24"/>
        <v>0</v>
      </c>
    </row>
    <row r="63" spans="1:15">
      <c r="A63" s="27" t="s">
        <v>151</v>
      </c>
      <c r="B63" s="23" t="s">
        <v>121</v>
      </c>
      <c r="C63" s="121">
        <f>1/6</f>
        <v>0.16666666666666666</v>
      </c>
      <c r="D63" s="122"/>
      <c r="F63" s="23" t="s">
        <v>121</v>
      </c>
      <c r="G63" s="38">
        <f>C63*'Calorie Planning Factors'!$B$4</f>
        <v>0</v>
      </c>
      <c r="H63" s="36"/>
      <c r="J63" s="19">
        <f>G63/4</f>
        <v>0</v>
      </c>
    </row>
    <row r="64" spans="1:15">
      <c r="A64" s="27"/>
      <c r="C64" s="36"/>
      <c r="D64" s="36"/>
      <c r="G64" s="38"/>
      <c r="H64" s="36"/>
      <c r="J64" s="19"/>
    </row>
    <row r="65" spans="1:15" ht="17.399999999999999">
      <c r="A65" s="28" t="s">
        <v>334</v>
      </c>
      <c r="C65" s="36"/>
      <c r="D65" s="36"/>
      <c r="G65" s="38"/>
      <c r="H65" s="36"/>
    </row>
    <row r="66" spans="1:15">
      <c r="A66" s="27" t="s">
        <v>153</v>
      </c>
      <c r="B66" s="23" t="s">
        <v>122</v>
      </c>
      <c r="C66" s="121">
        <f>160/6</f>
        <v>26.666666666666668</v>
      </c>
      <c r="D66" s="36"/>
      <c r="F66" s="23" t="s">
        <v>122</v>
      </c>
      <c r="G66" s="38">
        <f>C66*'Calorie Planning Factors'!$B$4</f>
        <v>0</v>
      </c>
      <c r="H66" s="36"/>
      <c r="J66" s="19">
        <f>G66/4/7</f>
        <v>0</v>
      </c>
      <c r="K66">
        <v>294</v>
      </c>
      <c r="L66" s="19">
        <f>J66*K66</f>
        <v>0</v>
      </c>
      <c r="M66" s="18">
        <f>L66*0.85</f>
        <v>0</v>
      </c>
      <c r="N66" s="19">
        <f>J66*0.85</f>
        <v>0</v>
      </c>
    </row>
    <row r="67" spans="1:15">
      <c r="A67" s="27" t="s">
        <v>154</v>
      </c>
      <c r="B67" s="23" t="s">
        <v>111</v>
      </c>
      <c r="C67" s="121">
        <f>45/6</f>
        <v>7.5</v>
      </c>
      <c r="D67" s="36"/>
      <c r="F67" s="23" t="s">
        <v>111</v>
      </c>
      <c r="G67" s="38">
        <f>C67*'Calorie Planning Factors'!$B$4</f>
        <v>0</v>
      </c>
      <c r="H67" s="36"/>
      <c r="J67" s="19">
        <f>G67/4/7</f>
        <v>0</v>
      </c>
      <c r="K67">
        <v>150</v>
      </c>
      <c r="L67" s="19">
        <f>J67*K67</f>
        <v>0</v>
      </c>
      <c r="M67" s="18">
        <f>L67*0.85</f>
        <v>0</v>
      </c>
      <c r="N67" s="19">
        <f>J67*0.85</f>
        <v>0</v>
      </c>
    </row>
    <row r="68" spans="1:15">
      <c r="A68" s="27"/>
      <c r="B68" s="23"/>
      <c r="F68" s="23"/>
      <c r="G68" s="17"/>
      <c r="J68" s="19">
        <f>SUM(J66:J67)</f>
        <v>0</v>
      </c>
      <c r="L68" s="19">
        <f>SUM(L66:L67)</f>
        <v>0</v>
      </c>
      <c r="M68" s="18">
        <f>SUM(M66:M67)</f>
        <v>0</v>
      </c>
      <c r="O68" s="14">
        <f>L68/1708000</f>
        <v>0</v>
      </c>
    </row>
    <row r="70" spans="1:15" ht="18">
      <c r="A70" t="s">
        <v>335</v>
      </c>
      <c r="L70" s="18">
        <f>L14+L30+L39+L44+L56++L68</f>
        <v>0</v>
      </c>
      <c r="M70" s="18">
        <f>M14+M30+M39+M56++M68</f>
        <v>0</v>
      </c>
      <c r="O70" s="21">
        <f>0.004095*1708000*0.7</f>
        <v>4895.9819999999991</v>
      </c>
    </row>
    <row r="71" spans="1:15" ht="18">
      <c r="A71" t="s">
        <v>336</v>
      </c>
    </row>
    <row r="72" spans="1:15" ht="18">
      <c r="A72" t="s">
        <v>113</v>
      </c>
      <c r="M72" s="18">
        <f>294332+M70</f>
        <v>294332</v>
      </c>
    </row>
    <row r="73" spans="1:15" ht="67.05" customHeight="1">
      <c r="A73" s="470" t="s">
        <v>114</v>
      </c>
      <c r="B73" s="470"/>
      <c r="C73" s="470"/>
      <c r="D73" s="470"/>
      <c r="E73" s="470"/>
      <c r="F73" s="470"/>
    </row>
    <row r="74" spans="1:15" ht="18">
      <c r="A74" t="s">
        <v>115</v>
      </c>
    </row>
    <row r="75" spans="1:15" ht="18">
      <c r="A75" t="s">
        <v>124</v>
      </c>
    </row>
    <row r="76" spans="1:15" ht="18">
      <c r="A76" t="s">
        <v>136</v>
      </c>
    </row>
    <row r="77" spans="1:15" ht="82.05" customHeight="1">
      <c r="A77" s="470" t="s">
        <v>152</v>
      </c>
      <c r="B77" s="470"/>
      <c r="C77" s="470"/>
      <c r="D77" s="470"/>
      <c r="E77" s="470"/>
      <c r="F77" s="470"/>
      <c r="G77" s="470"/>
    </row>
  </sheetData>
  <sheetProtection algorithmName="SHA-512" hashValue="Dp8MP/QaJzIO0fiXyiDDN8+E61jbebON+8D14xxXLx06oaSg0yY7PZ7MS1IAz1/4vkI7hW4xcZXQyK/Qc7/dEg==" saltValue="fu4+zDVREYFhI7UTXZakuQ==" spinCount="100000" sheet="1" objects="1" scenarios="1" selectLockedCells="1" selectUnlockedCells="1"/>
  <mergeCells count="6">
    <mergeCell ref="A77:G77"/>
    <mergeCell ref="A1:I1"/>
    <mergeCell ref="A2:G2"/>
    <mergeCell ref="B4:C4"/>
    <mergeCell ref="G4:H4"/>
    <mergeCell ref="A73:F7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Inputs</vt:lpstr>
      <vt:lpstr>Outputs 1 - Calories Calc</vt:lpstr>
      <vt:lpstr>Outputs 2 - Food Source 1</vt:lpstr>
      <vt:lpstr>Outputs 3 - Food Source 2</vt:lpstr>
      <vt:lpstr>Outputs 4 - Food Source 3</vt:lpstr>
      <vt:lpstr>Outputs 5 - Food Preservation</vt:lpstr>
      <vt:lpstr>Food-related Resourses</vt:lpstr>
      <vt:lpstr>Calorie Sources Data</vt:lpstr>
      <vt:lpstr>Stored Ingredients Reqs 1mo</vt:lpstr>
      <vt:lpstr>Stored Ingredients Reqs 6mo</vt:lpstr>
      <vt:lpstr>Calorie Planning Factors</vt:lpstr>
      <vt:lpstr>Picklist Data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dc:creator>
  <cp:lastModifiedBy>Steven Rene</cp:lastModifiedBy>
  <dcterms:created xsi:type="dcterms:W3CDTF">2021-07-24T11:03:41Z</dcterms:created>
  <dcterms:modified xsi:type="dcterms:W3CDTF">2022-04-25T13:31:25Z</dcterms:modified>
</cp:coreProperties>
</file>